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Assumptions &amp; Levers" sheetId="2" r:id="rId2"/>
    <sheet name="Startup Budget" sheetId="3" r:id="rId3"/>
    <sheet name="Unit Economics" sheetId="4" r:id="rId4"/>
    <sheet name="P&amp;L Year 1 Monthly" sheetId="5" r:id="rId5"/>
    <sheet name="P&amp;L Years 1-3" sheetId="6" r:id="rId6"/>
    <sheet name="Break-even &amp; Cash" sheetId="7" r:id="rId7"/>
    <sheet name="Sensitivity" sheetId="8" r:id="rId8"/>
  </sheets>
  <calcPr calcId="171027" fullCalcOnLoad="1"/>
</workbook>
</file>

<file path=xl/styles.xml><?xml version="1.0" encoding="utf-8"?>
<styleSheet xmlns="http://schemas.openxmlformats.org/spreadsheetml/2006/main">
  <numFmts count="6">
    <numFmt numFmtId="164" formatCode="$#,##0"/>
    <numFmt numFmtId="165" formatCode="$#,##0.00"/>
    <numFmt numFmtId="166" formatCode="0.0%"/>
    <numFmt numFmtId="167" formatCode="#,##0.00"/>
    <numFmt numFmtId="168" formatCode="#,##0"/>
    <numFmt numFmtId="169" formatCode="yyyy-mm-dd"/>
  </numFmts>
  <fonts count="3">
    <font>
      <sz val="11"/>
      <color rgb="FF1A1A1A"/>
      <name val="Calibri"/>
    </font>
    <font>
      <b/>
      <sz val="11"/>
      <color rgb="FFF5F1E8"/>
      <name val="Georgia"/>
    </font>
    <font>
      <b/>
      <sz val="11"/>
      <color rgb="FF1A1A1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A3B2E"/>
        <bgColor indexed="64"/>
      </patternFill>
    </fill>
    <fill>
      <patternFill patternType="solid">
        <fgColor rgb="FFF2EFE6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8A6D3B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49" fontId="0" fillId="0" borderId="0" xfId="0" applyNumberFormat="1"/>
    <xf numFmtId="0" fontId="1" fillId="2" borderId="0" xfId="0" applyFont="1" applyFill="1" applyAlignment="1">
      <alignment horizontal="right"/>
    </xf>
    <xf numFmtId="167" fontId="0" fillId="0" borderId="0" xfId="0" applyNumberFormat="1"/>
    <xf numFmtId="49" fontId="0" fillId="3" borderId="0" xfId="0" applyNumberFormat="1" applyFill="1"/>
    <xf numFmtId="167" fontId="0" fillId="3" borderId="0" xfId="0" applyNumberFormat="1" applyFill="1"/>
    <xf numFmtId="164" fontId="0" fillId="0" borderId="0" xfId="0" applyNumberFormat="1"/>
    <xf numFmtId="164" fontId="0" fillId="3" borderId="0" xfId="0" applyNumberFormat="1" applyFill="1"/>
    <xf numFmtId="166" fontId="0" fillId="0" borderId="0" xfId="0" applyNumberFormat="1"/>
    <xf numFmtId="166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 tabSelected="1"/>
  </sheetViews>
  <sheetFormatPr defaultRowHeight="15"/>
  <cols>
    <col min="1" max="1" width="38" customWidth="1"/>
    <col min="2" max="2" width="60" customWidth="1"/>
  </cols>
  <sheetData>
    <row r="1" ht="22" customHeight="1">
      <c r="A1" s="1" t="inlineStr">
        <is>
          <t xml:space="preserve">The Store — Live Financial Model</t>
        </is>
      </c>
      <c r="B1" s="1" t="inlineStr">
        <is>
          <t xml:space="preserve">Basis: USD · North Texas (DFW) · built Sep 16, 2026</t>
        </is>
      </c>
    </row>
    <row r="2">
      <c r="A2" s="2" t="inlineStr">
        <is>
          <t xml:space="preserve">What this workbook is</t>
        </is>
      </c>
      <c r="B2" s="2" t="inlineStr">
        <is>
          <t xml:space="preserve">A live model. Change any input on the 'Assumptions &amp; Levers' sheet and every downstream number — startup total, P&amp;L, break-even — recomputes on open in Excel, Numbers, or Google Sheets.</t>
        </is>
      </c>
    </row>
    <row r="3">
      <c r="A3" s="2" t="inlineStr">
        <is>
          <t xml:space="preserve">The success bar (client's words)</t>
        </is>
      </c>
      <c r="B3" s="2" t="inlineStr">
        <is>
          <t xml:space="preserve">"I do not need it to make a ton of money. I just want to make enough positive cash flow that my friend, who will operate it, can make a living off doing it." The model is measured against THIS, not profit maximization.</t>
        </is>
      </c>
    </row>
    <row r="4">
      <c r="A4" s="2" t="inlineStr">
        <is>
          <t xml:space="preserve">The break-even definition used here</t>
        </is>
      </c>
      <c r="B4" s="2" t="inlineStr">
        <is>
          <t xml:space="preserve">The month/volume at which the operator's salary is fully covered AND monthly cash flow turns positive. The operator salary is a prominent, adjustable line — it is the success test made numeric.</t>
        </is>
      </c>
    </row>
    <row r="5">
      <c r="A5" s="2" t="inlineStr">
        <is>
          <t xml:space="preserve">Where every number comes from</t>
        </is>
      </c>
      <c r="B5" s="2" t="inlineStr">
        <is>
          <t xml:space="preserve">Every load-bearing figure traces to verified-inputs.md (rents, buildout, permits, margins, wages — all verified or dated ranges, Sep 16 2026) or spine.md. Nothing is typed from memory. Ranges use the stated planning point; the simulator flexes the rest.</t>
        </is>
      </c>
    </row>
    <row r="6">
      <c r="A6" s="2" t="inlineStr">
        <is>
          <t xml:space="preserve">Two capital pools (do not confuse)</t>
        </is>
      </c>
      <c r="B6" s="2" t="inlineStr">
        <is>
          <t xml:space="preserve">POOL 1 — Startup capital: &lt;= $200,000 ceiling (Hicham's). POOL 2 — Operating cash: a SEPARATE pool ON TOP of the $200k (client confirmed), sized to carry the store to break-even through the seasonal valley. See 'Break-even &amp; Cash'.</t>
        </is>
      </c>
    </row>
    <row r="7">
      <c r="A7" s="2" t="inlineStr">
        <is>
          <t xml:space="preserve">The three levers of feasibility</t>
        </is>
      </c>
      <c r="B7" s="2" t="inlineStr">
        <is>
          <t xml:space="preserve">(a) Take a light-refresh 2nd-gen space, not a moderate finish-out; (b) negotiate the TI allowance hard; (c) Keller/Trophy Club rent lets the same budget breathe. All three live as inputs on Assumptions &amp; Levers.</t>
        </is>
      </c>
    </row>
    <row r="8">
      <c r="A8" s="2" t="inlineStr">
        <is>
          <t xml:space="preserve">Sheets in this book</t>
        </is>
      </c>
      <c r="B8" s="2" t="inlineStr">
        <is>
          <t xml:space="preserve">1 Assumptions &amp; Levers (edit here) · 2 Startup Budget (&lt;=$200k) · 3 Unit Economics · 4 P&amp;L Year 1 monthly (seasonal) · 5 P&amp;L Years 1-3 · 6 Break-even &amp; Cash · 7 Sensitivity.</t>
        </is>
      </c>
    </row>
    <row r="9">
      <c r="A9" s="2" t="inlineStr">
        <is>
          <t xml:space="preserve">Re-verify before signing</t>
        </is>
      </c>
      <c r="B9" s="2" t="inlineStr">
        <is>
          <t xml:space="preserve">Rents, buildout costs, and demographics move with the market. Re-verify against live listings and a real contractor bid before Hicham signs a lease or commits capital.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pane ySplit="1" topLeftCell="A2" activePane="bottomLeft" state="frozen"/>
    </sheetView>
  </sheetViews>
  <sheetFormatPr defaultRowHeight="15"/>
  <cols>
    <col min="1" max="1" width="48" customWidth="1"/>
    <col min="2" max="2" width="12" customWidth="1"/>
    <col min="3" max="3" width="9" customWidth="1"/>
    <col min="4" max="4" width="60" customWidth="1"/>
  </cols>
  <sheetData>
    <row r="1" ht="22" customHeight="1">
      <c r="A1" s="1" t="inlineStr">
        <is>
          <t xml:space="preserve">Input / Lever</t>
        </is>
      </c>
      <c r="B1" s="3" t="inlineStr">
        <is>
          <t xml:space="preserve">Value</t>
        </is>
      </c>
      <c r="C1" s="1" t="inlineStr">
        <is>
          <t xml:space="preserve">Unit</t>
        </is>
      </c>
      <c r="D1" s="1" t="inlineStr">
        <is>
          <t xml:space="preserve">Basis / source (verified Sep 16 2026)</t>
        </is>
      </c>
    </row>
    <row r="2">
      <c r="A2" s="2" t="inlineStr">
        <is>
          <t xml:space="preserve">— LOCATION &amp; SPACE —</t>
        </is>
      </c>
      <c r="B2" s="4"/>
      <c r="C2" s="2" t="inlineStr">
        <is>
          <t xml:space="preserve"/>
        </is>
      </c>
      <c r="D2" s="2" t="inlineStr">
        <is>
          <t xml:space="preserve"/>
        </is>
      </c>
    </row>
    <row r="3">
      <c r="A3" s="5" t="inlineStr">
        <is>
          <t xml:space="preserve">Square footage (jewel-box)</t>
        </is>
      </c>
      <c r="B3" s="6">
        <v>1300</v>
      </c>
      <c r="C3" s="5" t="inlineStr">
        <is>
          <t xml:space="preserve">SF</t>
        </is>
      </c>
      <c r="D3" s="5" t="inlineStr">
        <is>
          <t xml:space="preserve">Spine §3: ~1,300 SF split retail 60% / workroom 25% / storage 15%</t>
        </is>
      </c>
    </row>
    <row r="4">
      <c r="A4" s="2" t="inlineStr">
        <is>
          <t xml:space="preserve">Rent — base $/SF/yr (SELECTED TOWN)</t>
        </is>
      </c>
      <c r="B4" s="4">
        <v>38</v>
      </c>
      <c r="C4" s="2" t="inlineStr">
        <is>
          <t xml:space="preserve">$/SF</t>
        </is>
      </c>
      <c r="D4" s="2" t="inlineStr">
        <is>
          <t xml:space="preserve">Southlake premium corridor planning point. Keller 30, Trophy Club 26. Change this cell to switch towns.</t>
        </is>
      </c>
    </row>
    <row r="5">
      <c r="A5" s="5" t="inlineStr">
        <is>
          <t xml:space="preserve">Rent — NNN load $/SF/yr</t>
        </is>
      </c>
      <c r="B5" s="6">
        <v>9</v>
      </c>
      <c r="C5" s="5" t="inlineStr">
        <is>
          <t xml:space="preserve">$/SF</t>
        </is>
      </c>
      <c r="D5" s="5" t="inlineStr">
        <is>
          <t xml:space="preserve">Triple-net add: property tax + insurance + CAM. DFW small-shop ~$6-12/SF. Southlake ~9, Keller ~8, Trophy Club ~8.</t>
        </is>
      </c>
    </row>
    <row r="6">
      <c r="A6" s="2" t="inlineStr">
        <is>
          <t xml:space="preserve">— BUILDOUT (POOL 1) —</t>
        </is>
      </c>
      <c r="B6" s="4"/>
      <c r="C6" s="2" t="inlineStr">
        <is>
          <t xml:space="preserve"/>
        </is>
      </c>
      <c r="D6" s="2" t="inlineStr">
        <is>
          <t xml:space="preserve"/>
        </is>
      </c>
    </row>
    <row r="7">
      <c r="A7" s="5" t="inlineStr">
        <is>
          <t xml:space="preserve">Buildout hard cost $/SF</t>
        </is>
      </c>
      <c r="B7" s="6">
        <v>95</v>
      </c>
      <c r="C7" s="5" t="inlineStr">
        <is>
          <t xml:space="preserve">$/SF</t>
        </is>
      </c>
      <c r="D7" s="5" t="inlineStr">
        <is>
          <t xml:space="preserve">2nd-gen retail planning point (mid light/moderate). Range $50-90 light, $90-130 moderate. Lever (a): drop toward 60 for a light refresh.</t>
        </is>
      </c>
    </row>
    <row r="8">
      <c r="A8" s="2" t="inlineStr">
        <is>
          <t xml:space="preserve">Soft cost + contingency %</t>
        </is>
      </c>
      <c r="B8" s="4">
        <v>0.15</v>
      </c>
      <c r="C8" s="2" t="inlineStr">
        <is>
          <t xml:space="preserve">%</t>
        </is>
      </c>
      <c r="D8" s="2" t="inlineStr">
        <is>
          <t xml:space="preserve">Design, permits, drawings + contingency. Terrapin/Prestige360 flag 8-15% soft + 5-10% contingency.</t>
        </is>
      </c>
    </row>
    <row r="9">
      <c r="A9" s="5" t="inlineStr">
        <is>
          <t xml:space="preserve">TI allowance $/SF (landlord)</t>
        </is>
      </c>
      <c r="B9" s="6">
        <v>20</v>
      </c>
      <c r="C9" s="5" t="inlineStr">
        <is>
          <t xml:space="preserve">$/SF</t>
        </is>
      </c>
      <c r="D9" s="5" t="inlineStr">
        <is>
          <t xml:space="preserve">DFW 2nd-gen retail landlords give $15-35/SF, reimbursed AFTER completion. Lever (b): negotiate hard. 0 = none negotiated.</t>
        </is>
      </c>
    </row>
    <row r="10">
      <c r="A10" s="2" t="inlineStr">
        <is>
          <t xml:space="preserve">Fixtures &amp; equipment</t>
        </is>
      </c>
      <c r="B10" s="4">
        <v>30000</v>
      </c>
      <c r="C10" s="2" t="inlineStr">
        <is>
          <t xml:space="preserve">$</t>
        </is>
      </c>
      <c r="D10" s="2" t="inlineStr">
        <is>
          <t xml:space="preserve">Shelving, refrigerated cases, wrap/pack benches, POS, signage. Range $25-35k; cases are the pricey item.</t>
        </is>
      </c>
    </row>
    <row r="11">
      <c r="A11" s="5" t="inlineStr">
        <is>
          <t xml:space="preserve">Opening inventory</t>
        </is>
      </c>
      <c r="B11" s="6">
        <v>35000</v>
      </c>
      <c r="C11" s="5" t="inlineStr">
        <is>
          <t xml:space="preserve">$</t>
        </is>
      </c>
      <c r="D11" s="5" t="inlineStr">
        <is>
          <t xml:space="preserve">Retail shelf + basket components. Range $30-40k. Curated breadth, not deep stock.</t>
        </is>
      </c>
    </row>
    <row r="12">
      <c r="A12" s="2" t="inlineStr">
        <is>
          <t xml:space="preserve">Permitting / licensing / legal</t>
        </is>
      </c>
      <c r="B12" s="4">
        <v>4500</v>
      </c>
      <c r="C12" s="2" t="inlineStr">
        <is>
          <t xml:space="preserve">$</t>
        </is>
      </c>
      <c r="D12" s="2" t="inlineStr">
        <is>
          <t xml:space="preserve">State food permit $258-773/yr, CO $100-500, DBA/LLC, food-handler cert. Range $3-6k all-in.</t>
        </is>
      </c>
    </row>
    <row r="13">
      <c r="A13" s="5" t="inlineStr">
        <is>
          <t xml:space="preserve">Opening marketing / launch</t>
        </is>
      </c>
      <c r="B13" s="6">
        <v>8000</v>
      </c>
      <c r="C13" s="5" t="inlineStr">
        <is>
          <t xml:space="preserve">$</t>
        </is>
      </c>
      <c r="D13" s="5" t="inlineStr">
        <is>
          <t xml:space="preserve">Grand opening, corporate outreach kit, initial brand presence. Range $5-10k.</t>
        </is>
      </c>
    </row>
    <row r="14">
      <c r="A14" s="2" t="inlineStr">
        <is>
          <t xml:space="preserve">— OPERATING: MARGINS —</t>
        </is>
      </c>
      <c r="B14" s="4"/>
      <c r="C14" s="2" t="inlineStr">
        <is>
          <t xml:space="preserve"/>
        </is>
      </c>
      <c r="D14" s="2" t="inlineStr">
        <is>
          <t xml:space="preserve"/>
        </is>
      </c>
    </row>
    <row r="15">
      <c r="A15" s="5" t="inlineStr">
        <is>
          <t xml:space="preserve">Retail gross margin %</t>
        </is>
      </c>
      <c r="B15" s="6">
        <v>0.49</v>
      </c>
      <c r="C15" s="5" t="inlineStr">
        <is>
          <t xml:space="preserve">%</t>
        </is>
      </c>
      <c r="D15" s="5" t="inlineStr">
        <is>
          <t xml:space="preserve">Specialty food retail 40-60%, blend ~48-52% (GFM Wholesale). Storefront/feeder.</t>
        </is>
      </c>
    </row>
    <row r="16">
      <c r="A16" s="2" t="inlineStr">
        <is>
          <t xml:space="preserve">Basket blended gross margin %</t>
        </is>
      </c>
      <c r="B16" s="4">
        <v>0.6</v>
      </c>
      <c r="C16" s="2" t="inlineStr">
        <is>
          <t xml:space="preserve">%</t>
        </is>
      </c>
      <c r="D16" s="2" t="inlineStr">
        <is>
          <t xml:space="preserve">Gift baskets 50-70% GM (LivePlan 65-72%). Blended across tiers. The profit engine.</t>
        </is>
      </c>
    </row>
    <row r="17">
      <c r="A17" s="5" t="inlineStr">
        <is>
          <t xml:space="preserve">Wrapping gross margin %</t>
        </is>
      </c>
      <c r="B17" s="6">
        <v>0.78</v>
      </c>
      <c r="C17" s="5" t="inlineStr">
        <is>
          <t xml:space="preserve">%</t>
        </is>
      </c>
      <c r="D17" s="5" t="inlineStr">
        <is>
          <t xml:space="preserve">Wrapping/gift service 70-85%+ — near-pure margin, the sell is craft + time.</t>
        </is>
      </c>
    </row>
    <row r="18">
      <c r="A18" s="2" t="inlineStr">
        <is>
          <t xml:space="preserve">— OPERATING: LABOR —</t>
        </is>
      </c>
      <c r="B18" s="4"/>
      <c r="C18" s="2" t="inlineStr">
        <is>
          <t xml:space="preserve"/>
        </is>
      </c>
      <c r="D18" s="2" t="inlineStr">
        <is>
          <t xml:space="preserve"/>
        </is>
      </c>
    </row>
    <row r="19">
      <c r="A19" s="5" t="inlineStr">
        <is>
          <t xml:space="preserve">Operator salary (SUCCESS TEST)</t>
        </is>
      </c>
      <c r="B19" s="6">
        <v>55000</v>
      </c>
      <c r="C19" s="5" t="inlineStr">
        <is>
          <t xml:space="preserve">$/yr</t>
        </is>
      </c>
      <c r="D19" s="5" t="inlineStr">
        <is>
          <t xml:space="preserve">DECISION INPUT, not a market wage. Modest owner-operator draw $45-65k. This is the livable-salary bar made numeric — set it here.</t>
        </is>
      </c>
    </row>
    <row r="20">
      <c r="A20" s="2" t="inlineStr">
        <is>
          <t xml:space="preserve">Part-time wage $/hr</t>
        </is>
      </c>
      <c r="B20" s="4">
        <v>15</v>
      </c>
      <c r="C20" s="2" t="inlineStr">
        <is>
          <t xml:space="preserve">$/hr</t>
        </is>
      </c>
      <c r="D20" s="2" t="inlineStr">
        <is>
          <t xml:space="preserve">North Texas PT retail $14-18/hr, avg ~$15 (ZipRecruiter Fort Worth, Sep 10 2026). Skilled basket lead $16-18.</t>
        </is>
      </c>
    </row>
    <row r="21">
      <c r="A21" s="5" t="inlineStr">
        <is>
          <t xml:space="preserve">PT hours/week — base months</t>
        </is>
      </c>
      <c r="B21" s="6">
        <v>40</v>
      </c>
      <c r="C21" s="5" t="inlineStr">
        <is>
          <t xml:space="preserve">hrs/wk</t>
        </is>
      </c>
      <c r="D21" s="5" t="inlineStr">
        <is>
          <t xml:space="preserve">One associate in slow season (~1 FTE-equiv of part-time coverage).</t>
        </is>
      </c>
    </row>
    <row r="22">
      <c r="A22" s="2" t="inlineStr">
        <is>
          <t xml:space="preserve">PT hours/week — Q4 surge (Nov-Dec)</t>
        </is>
      </c>
      <c r="B22" s="4">
        <v>100</v>
      </c>
      <c r="C22" s="2" t="inlineStr">
        <is>
          <t xml:space="preserve">hrs/wk</t>
        </is>
      </c>
      <c r="D22" s="2" t="inlineStr">
        <is>
          <t xml:space="preserve">Scale to 2-3 seasonal hands for the corporate-gifting + holiday surge.</t>
        </is>
      </c>
    </row>
    <row r="23">
      <c r="A23" s="5" t="inlineStr">
        <is>
          <t xml:space="preserve">— OPERATING: OVERHEAD —</t>
        </is>
      </c>
      <c r="B23" s="6"/>
      <c r="C23" s="5" t="inlineStr">
        <is>
          <t xml:space="preserve"/>
        </is>
      </c>
      <c r="D23" s="5" t="inlineStr">
        <is>
          <t xml:space="preserve"/>
        </is>
      </c>
    </row>
    <row r="24">
      <c r="A24" s="2" t="inlineStr">
        <is>
          <t xml:space="preserve">Insurance $/yr</t>
        </is>
      </c>
      <c r="B24" s="4">
        <v>2200</v>
      </c>
      <c r="C24" s="2" t="inlineStr">
        <is>
          <t xml:space="preserve">$/yr</t>
        </is>
      </c>
      <c r="D24" s="2" t="inlineStr">
        <is>
          <t xml:space="preserve">General liability + property, small food/gift retailer. Range $1,200-3,000/yr; verify with a broker.</t>
        </is>
      </c>
    </row>
    <row r="25">
      <c r="A25" s="5" t="inlineStr">
        <is>
          <t xml:space="preserve">Utilities $/mo</t>
        </is>
      </c>
      <c r="B25" s="6">
        <v>900</v>
      </c>
      <c r="C25" s="5" t="inlineStr">
        <is>
          <t xml:space="preserve">$/mo</t>
        </is>
      </c>
      <c r="D25" s="5" t="inlineStr">
        <is>
          <t xml:space="preserve">Refrigerated cases drive load; small footprint. Planning estimate.</t>
        </is>
      </c>
    </row>
    <row r="26">
      <c r="A26" s="2" t="inlineStr">
        <is>
          <t xml:space="preserve">Marketing $/mo (ongoing)</t>
        </is>
      </c>
      <c r="B26" s="4">
        <v>800</v>
      </c>
      <c r="C26" s="2" t="inlineStr">
        <is>
          <t xml:space="preserve">$/mo</t>
        </is>
      </c>
      <c r="D26" s="2" t="inlineStr">
        <is>
          <t xml:space="preserve">Year-round demand generation across the full gifting calendar, not just December.</t>
        </is>
      </c>
    </row>
    <row r="27">
      <c r="A27" s="5" t="inlineStr">
        <is>
          <t xml:space="preserve">Misc / other opex $/mo</t>
        </is>
      </c>
      <c r="B27" s="6">
        <v>700</v>
      </c>
      <c r="C27" s="5" t="inlineStr">
        <is>
          <t xml:space="preserve">$/mo</t>
        </is>
      </c>
      <c r="D27" s="5" t="inlineStr">
        <is>
          <t xml:space="preserve">POS fees, supplies, software, bank/merchant fees, repairs.</t>
        </is>
      </c>
    </row>
    <row r="28">
      <c r="A28" s="2" t="inlineStr">
        <is>
          <t xml:space="preserve">— REVENUE SCALE (Year 1) —</t>
        </is>
      </c>
      <c r="B28" s="4"/>
      <c r="C28" s="2" t="inlineStr">
        <is>
          <t xml:space="preserve"/>
        </is>
      </c>
      <c r="D28" s="2" t="inlineStr">
        <is>
          <t xml:space="preserve"/>
        </is>
      </c>
    </row>
    <row r="29">
      <c r="A29" s="5" t="inlineStr">
        <is>
          <t xml:space="preserve">Year 1 monthly base revenue (mature run-rate)</t>
        </is>
      </c>
      <c r="B29" s="6">
        <v>28000</v>
      </c>
      <c r="C29" s="5" t="inlineStr">
        <is>
          <t xml:space="preserve">$/mo</t>
        </is>
      </c>
      <c r="D29" s="5" t="inlineStr">
        <is>
          <t xml:space="preserve">Mature avg-month run-rate after ramp. Mid of the spine §5 break-even band (~$22-33k/mo at gift-weighted margin). Set conservative; the gifting engine + corporate accounts push it up. Lever: basket volume.</t>
        </is>
      </c>
    </row>
    <row r="30">
      <c r="A30" s="2" t="inlineStr">
        <is>
          <t xml:space="preserve">Revenue mix — retail %</t>
        </is>
      </c>
      <c r="B30" s="4">
        <v>0.35</v>
      </c>
      <c r="C30" s="2" t="inlineStr">
        <is>
          <t xml:space="preserve">%</t>
        </is>
      </c>
      <c r="D30" s="2" t="inlineStr">
        <is>
          <t xml:space="preserve">Retail floor is storefront/feeder. Share of blended revenue.</t>
        </is>
      </c>
    </row>
    <row r="31">
      <c r="A31" s="5" t="inlineStr">
        <is>
          <t xml:space="preserve">Revenue mix — baskets %</t>
        </is>
      </c>
      <c r="B31" s="6">
        <v>0.45</v>
      </c>
      <c r="C31" s="5" t="inlineStr">
        <is>
          <t xml:space="preserve">%</t>
        </is>
      </c>
      <c r="D31" s="5" t="inlineStr">
        <is>
          <t xml:space="preserve">Gift baskets — the profit engine's core.</t>
        </is>
      </c>
    </row>
    <row r="32">
      <c r="A32" s="2" t="inlineStr">
        <is>
          <t xml:space="preserve">Revenue mix — corporate %</t>
        </is>
      </c>
      <c r="B32" s="4">
        <v>0.15</v>
      </c>
      <c r="C32" s="2" t="inlineStr">
        <is>
          <t xml:space="preserve">%</t>
        </is>
      </c>
      <c r="D32" s="2" t="inlineStr">
        <is>
          <t xml:space="preserve">Corporate-gifting channel — the load-bearing seasonal driver (Southlake's Sabre corridor).</t>
        </is>
      </c>
    </row>
    <row r="33">
      <c r="A33" s="5" t="inlineStr">
        <is>
          <t xml:space="preserve">Revenue mix — wrapping %</t>
        </is>
      </c>
      <c r="B33" s="6">
        <v>0.05</v>
      </c>
      <c r="C33" s="5" t="inlineStr">
        <is>
          <t xml:space="preserve">%</t>
        </is>
      </c>
      <c r="D33" s="5" t="inlineStr">
        <is>
          <t xml:space="preserve">Wrapping service — near-pure margin add-on. Retail + baskets + corporate + wrapping = 100%.</t>
        </is>
      </c>
    </row>
    <row r="34">
      <c r="A34" s="2" t="inlineStr">
        <is>
          <t xml:space="preserve">Year 1 ramp factor (avg vs mature)</t>
        </is>
      </c>
      <c r="B34" s="4">
        <v>0.75</v>
      </c>
      <c r="C34" s="2" t="inlineStr">
        <is>
          <t xml:space="preserve">%</t>
        </is>
      </c>
      <c r="D34" s="2" t="inlineStr">
        <is>
          <t xml:space="preserve">A new store builds slowly: Year 1 averages ~75% of mature monthly run-rate. Y2 = 1.00, Y3 growth below.</t>
        </is>
      </c>
    </row>
    <row r="35">
      <c r="A35" s="5" t="inlineStr">
        <is>
          <t xml:space="preserve">Year 2 growth vs Year 1</t>
        </is>
      </c>
      <c r="B35" s="6">
        <v>0.35</v>
      </c>
      <c r="C35" s="5" t="inlineStr">
        <is>
          <t xml:space="preserve">%</t>
        </is>
      </c>
      <c r="D35" s="5" t="inlineStr">
        <is>
          <t xml:space="preserve">Maturing store: relationships + corporate accounts compound.</t>
        </is>
      </c>
    </row>
    <row r="36">
      <c r="A36" s="2" t="inlineStr">
        <is>
          <t xml:space="preserve">Year 3 growth vs Year 2</t>
        </is>
      </c>
      <c r="B36" s="4">
        <v>0.18</v>
      </c>
      <c r="C36" s="2" t="inlineStr">
        <is>
          <t xml:space="preserve">%</t>
        </is>
      </c>
      <c r="D36" s="2" t="inlineStr">
        <is>
          <t xml:space="preserve">Growth slows toward a steady modest business.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pane ySplit="1" topLeftCell="A2" activePane="bottomLeft" state="frozen"/>
    </sheetView>
  </sheetViews>
  <sheetFormatPr defaultRowHeight="15"/>
  <cols>
    <col min="1" max="1" width="60" customWidth="1"/>
    <col min="2" max="2" width="11" customWidth="1"/>
    <col min="3" max="3" width="60" customWidth="1"/>
  </cols>
  <sheetData>
    <row r="1" ht="22" customHeight="1">
      <c r="A1" s="1" t="inlineStr">
        <is>
          <t xml:space="preserve">Startup line (Pool 1 — capital)</t>
        </is>
      </c>
      <c r="B1" s="3" t="inlineStr">
        <is>
          <t xml:space="preserve">Amount</t>
        </is>
      </c>
      <c r="C1" s="1" t="inlineStr">
        <is>
          <t xml:space="preserve">Note</t>
        </is>
      </c>
    </row>
    <row r="2">
      <c r="A2" s="2" t="inlineStr">
        <is>
          <t xml:space="preserve">Buildout — hard cost (SF × $/SF)</t>
        </is>
      </c>
      <c r="B2" s="7">
        <f>'Assumptions &amp; Levers'!B3*'Assumptions &amp; Levers'!B7</f>
      </c>
      <c r="C2" s="2" t="inlineStr">
        <is>
          <t xml:space="preserve">1,300 SF × buildout $/SF from Assumptions. The biggest, riskiest line.</t>
        </is>
      </c>
    </row>
    <row r="3">
      <c r="A3" s="5" t="inlineStr">
        <is>
          <t xml:space="preserve">Buildout — soft cost + contingency</t>
        </is>
      </c>
      <c r="B3" s="8">
        <f>B2*'Assumptions &amp; Levers'!B8</f>
      </c>
      <c r="C3" s="5" t="inlineStr">
        <is>
          <t xml:space="preserve">Hard cost × soft/contingency %.</t>
        </is>
      </c>
    </row>
    <row r="4">
      <c r="A4" s="2" t="inlineStr">
        <is>
          <t xml:space="preserve">Buildout — all-in (gross, before TI allowance)</t>
        </is>
      </c>
      <c r="B4" s="7">
        <f>B2+B3</f>
      </c>
      <c r="C4" s="2" t="inlineStr">
        <is>
          <t xml:space="preserve">Hard + soft. This is what you pay the contractor.</t>
        </is>
      </c>
    </row>
    <row r="5">
      <c r="A5" s="5" t="inlineStr">
        <is>
          <t xml:space="preserve">Fixtures &amp; equipment</t>
        </is>
      </c>
      <c r="B5" s="8">
        <f>'Assumptions &amp; Levers'!B10</f>
      </c>
      <c r="C5" s="5" t="inlineStr">
        <is>
          <t xml:space="preserve">From Assumptions.</t>
        </is>
      </c>
    </row>
    <row r="6">
      <c r="A6" s="2" t="inlineStr">
        <is>
          <t xml:space="preserve">Opening inventory</t>
        </is>
      </c>
      <c r="B6" s="7">
        <f>'Assumptions &amp; Levers'!B11</f>
      </c>
      <c r="C6" s="2" t="inlineStr">
        <is>
          <t xml:space="preserve">From Assumptions.</t>
        </is>
      </c>
    </row>
    <row r="7">
      <c r="A7" s="5" t="inlineStr">
        <is>
          <t xml:space="preserve">Permitting / licensing / legal</t>
        </is>
      </c>
      <c r="B7" s="8">
        <f>'Assumptions &amp; Levers'!B12</f>
      </c>
      <c r="C7" s="5" t="inlineStr">
        <is>
          <t xml:space="preserve">From Assumptions.</t>
        </is>
      </c>
    </row>
    <row r="8">
      <c r="A8" s="2" t="inlineStr">
        <is>
          <t xml:space="preserve">Opening marketing / launch</t>
        </is>
      </c>
      <c r="B8" s="7">
        <f>'Assumptions &amp; Levers'!B13</f>
      </c>
      <c r="C8" s="2" t="inlineStr">
        <is>
          <t xml:space="preserve">From Assumptions.</t>
        </is>
      </c>
    </row>
    <row r="9">
      <c r="A9" s="5" t="inlineStr">
        <is>
          <t xml:space="preserve">GROSS STARTUP TOTAL (before TI allowance)</t>
        </is>
      </c>
      <c r="B9" s="8">
        <f>B4+B5+B6+B7+B8</f>
      </c>
      <c r="C9" s="5" t="inlineStr">
        <is>
          <t xml:space="preserve">Sum of all lines above at full buildout cost.</t>
        </is>
      </c>
    </row>
    <row r="10">
      <c r="A10" s="2" t="inlineStr">
        <is>
          <t xml:space="preserve">Less: TI allowance (landlord, SF × $/SF)</t>
        </is>
      </c>
      <c r="B10" s="7">
        <f>'Assumptions &amp; Levers'!B3*'Assumptions &amp; Levers'!B9</f>
      </c>
      <c r="C10" s="2" t="inlineStr">
        <is>
          <t xml:space="preserve">Reimbursed AFTER completion — requires cash to float, then recovered.</t>
        </is>
      </c>
    </row>
    <row r="11">
      <c r="A11" s="5" t="inlineStr">
        <is>
          <t xml:space="preserve">NET STARTUP TOTAL (after TI allowance)</t>
        </is>
      </c>
      <c r="B11" s="8">
        <f>B9-B10</f>
      </c>
      <c r="C11" s="5" t="inlineStr">
        <is>
          <t xml:space="preserve">The true capital at risk once the allowance is recovered.</t>
        </is>
      </c>
    </row>
    <row r="12">
      <c r="A12" s="2" t="inlineStr">
        <is>
          <t xml:space="preserve"/>
        </is>
      </c>
      <c r="B12" s="7"/>
      <c r="C12" s="2" t="inlineStr">
        <is>
          <t xml:space="preserve"/>
        </is>
      </c>
    </row>
    <row r="13">
      <c r="A13" s="5" t="inlineStr">
        <is>
          <t xml:space="preserve">THE $200,000 CEILING</t>
        </is>
      </c>
      <c r="B13" s="8">
        <v>200000</v>
      </c>
      <c r="C13" s="5" t="inlineStr">
        <is>
          <t xml:space="preserve">Hicham's stated cap on startup capital (Pool 1). Operating cash is separate.</t>
        </is>
      </c>
    </row>
    <row r="14">
      <c r="A14" s="2" t="inlineStr">
        <is>
          <t xml:space="preserve">Headroom vs ceiling — GROSS</t>
        </is>
      </c>
      <c r="B14" s="7">
        <f>B13-B9</f>
      </c>
      <c r="C14" s="2" t="inlineStr">
        <is>
          <t xml:space="preserve">Ceiling minus gross total. Negative = over budget before allowance.</t>
        </is>
      </c>
    </row>
    <row r="15">
      <c r="A15" s="5" t="inlineStr">
        <is>
          <t xml:space="preserve">Headroom vs ceiling — NET of TI</t>
        </is>
      </c>
      <c r="B15" s="8">
        <f>B13-B11</f>
      </c>
      <c r="C15" s="5" t="inlineStr">
        <is>
          <t xml:space="preserve">Ceiling minus net total. This is the feasibility answer with a negotiated allowance.</t>
        </is>
      </c>
    </row>
    <row r="16">
      <c r="A16" s="2" t="inlineStr">
        <is>
          <t xml:space="preserve"/>
        </is>
      </c>
      <c r="B16" s="7"/>
      <c r="C16" s="2" t="inlineStr">
        <is>
          <t xml:space="preserve"/>
        </is>
      </c>
    </row>
    <row r="17">
      <c r="A17" s="5" t="inlineStr">
        <is>
          <t xml:space="preserve">— TWO SPACE-CONDITION PATHS (net startup) —</t>
        </is>
      </c>
      <c r="B17" s="8"/>
      <c r="C17" s="5" t="inlineStr">
        <is>
          <t xml:space="preserve">Buildout $/SF differs by space condition; town changes annual rent (on the P&amp;L), not this startup total.</t>
        </is>
      </c>
    </row>
    <row r="18">
      <c r="A18" s="2" t="inlineStr">
        <is>
          <t xml:space="preserve">Southlake premium case — net startup (as modeled above)</t>
        </is>
      </c>
      <c r="B18" s="7">
        <f>B11</f>
      </c>
      <c r="C18" s="2" t="inlineStr">
        <is>
          <t xml:space="preserve">At $95/SF buildout, $20/SF TI allowance — the base case.</t>
        </is>
      </c>
    </row>
    <row r="19">
      <c r="A19" s="5" t="inlineStr">
        <is>
          <t xml:space="preserve">Keller/lean case — net startup (light refresh $65/SF, $25/SF TI)</t>
        </is>
      </c>
      <c r="B19" s="8">
        <f>('Assumptions &amp; Levers'!B3*65)*(1+'Assumptions &amp; Levers'!B8)+'Assumptions &amp; Levers'!B10+'Assumptions &amp; Levers'!B11+'Assumptions &amp; Levers'!B12+'Assumptions &amp; Levers'!B13-('Assumptions &amp; Levers'!B3*25)</f>
      </c>
      <c r="C19" s="5" t="inlineStr">
        <is>
          <t xml:space="preserve">Illustrative lower-cost path: a better-conditioned 2nd-gen space. Shows the lever (a)+(b) savings.</t>
        </is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pane ySplit="1" topLeftCell="A2" activePane="bottomLeft" state="frozen"/>
    </sheetView>
  </sheetViews>
  <sheetFormatPr defaultRowHeight="15"/>
  <cols>
    <col min="1" max="1" width="31" customWidth="1"/>
    <col min="2" max="2" width="21" customWidth="1"/>
    <col min="3" max="3" width="13" customWidth="1"/>
    <col min="4" max="4" width="17" customWidth="1"/>
    <col min="5" max="5" width="17" customWidth="1"/>
    <col min="6" max="6" width="20" customWidth="1"/>
    <col min="7" max="7" width="15" customWidth="1"/>
    <col min="8" max="8" width="60" customWidth="1"/>
  </cols>
  <sheetData>
    <row r="1" ht="22" customHeight="1">
      <c r="A1" s="1" t="inlineStr">
        <is>
          <t xml:space="preserve">Product line</t>
        </is>
      </c>
      <c r="B1" s="3" t="inlineStr">
        <is>
          <t xml:space="preserve">Price / avg ticket</t>
        </is>
      </c>
      <c r="C1" s="3" t="inlineStr">
        <is>
          <t xml:space="preserve">Goods cost</t>
        </is>
      </c>
      <c r="D1" s="3" t="inlineStr">
        <is>
          <t xml:space="preserve">Gross margin $</t>
        </is>
      </c>
      <c r="E1" s="3" t="inlineStr">
        <is>
          <t xml:space="preserve">Gross margin %</t>
        </is>
      </c>
      <c r="F1" s="3" t="inlineStr">
        <is>
          <t xml:space="preserve">Labor + materials</t>
        </is>
      </c>
      <c r="G1" s="3" t="inlineStr">
        <is>
          <t xml:space="preserve">Net per unit</t>
        </is>
      </c>
      <c r="H1" s="1" t="inlineStr">
        <is>
          <t xml:space="preserve">Note</t>
        </is>
      </c>
    </row>
    <row r="2">
      <c r="A2" s="2" t="inlineStr">
        <is>
          <t xml:space="preserve">Retail sale — blended ticket</t>
        </is>
      </c>
      <c r="B2" s="7">
        <v>38</v>
      </c>
      <c r="C2" s="7">
        <f>B2*(1-'Assumptions &amp; Levers'!B15)</f>
      </c>
      <c r="D2" s="7">
        <f>B2-C2</f>
      </c>
      <c r="E2" s="9">
        <f>'Assumptions &amp; Levers'!B15</f>
      </c>
      <c r="F2" s="7">
        <v>0</v>
      </c>
      <c r="G2" s="7">
        <f>D2-F2</f>
      </c>
      <c r="H2" s="2" t="inlineStr">
        <is>
          <t xml:space="preserve">Avg specialty-food purchase. GM from Assumptions retail margin. No incremental labor per sale.</t>
        </is>
      </c>
    </row>
    <row r="3">
      <c r="A3" s="5" t="inlineStr">
        <is>
          <t xml:space="preserve">Wrapping service</t>
        </is>
      </c>
      <c r="B3" s="8">
        <v>22</v>
      </c>
      <c r="C3" s="8">
        <f>B3*(1-'Assumptions &amp; Levers'!B17)</f>
      </c>
      <c r="D3" s="8">
        <f>B3-C3</f>
      </c>
      <c r="E3" s="10">
        <f>'Assumptions &amp; Levers'!B17</f>
      </c>
      <c r="F3" s="8">
        <v>3</v>
      </c>
      <c r="G3" s="8">
        <f>D3-F3</f>
      </c>
      <c r="H3" s="5" t="inlineStr">
        <is>
          <t xml:space="preserve">$8-35 per wrap; ~$22 avg. Near-pure margin: materials small, sell is craft. Converts a $30 buy into a $50+ ticket.</t>
        </is>
      </c>
    </row>
    <row r="4">
      <c r="A4" s="2" t="inlineStr">
        <is>
          <t xml:space="preserve">Basket — The Everyday</t>
        </is>
      </c>
      <c r="B4" s="7">
        <v>55</v>
      </c>
      <c r="C4" s="7">
        <f>B4*(1-'Assumptions &amp; Levers'!B16)</f>
      </c>
      <c r="D4" s="7">
        <f>B4-C4</f>
      </c>
      <c r="E4" s="9">
        <f>'Assumptions &amp; Levers'!B16</f>
      </c>
      <c r="F4" s="7">
        <v>12</v>
      </c>
      <c r="G4" s="7">
        <f>D4-F4</f>
      </c>
      <c r="H4" s="2" t="inlineStr">
        <is>
          <t xml:space="preserve">$45-65 thank-you/hostess. Uses basket blended GM. ~55% tier.</t>
        </is>
      </c>
    </row>
    <row r="5">
      <c r="A5" s="5" t="inlineStr">
        <is>
          <t xml:space="preserve">Basket — The Signature</t>
        </is>
      </c>
      <c r="B5" s="8">
        <v>120</v>
      </c>
      <c r="C5" s="8">
        <f>B5*(1-'Assumptions &amp; Levers'!B16)</f>
      </c>
      <c r="D5" s="8">
        <f>B5-C5</f>
      </c>
      <c r="E5" s="10">
        <f>'Assumptions &amp; Levers'!B16</f>
      </c>
      <c r="F5" s="8">
        <v>25</v>
      </c>
      <c r="G5" s="8">
        <f>D5-F5</f>
      </c>
      <c r="H5" s="5" t="inlineStr">
        <is>
          <t xml:space="preserve">$85-150 core gift, 6-8 curated intl items. The volume tier.</t>
        </is>
      </c>
    </row>
    <row r="6">
      <c r="A6" s="2" t="inlineStr">
        <is>
          <t xml:space="preserve">Basket — The Executive</t>
        </is>
      </c>
      <c r="B6" s="7">
        <v>260</v>
      </c>
      <c r="C6" s="7">
        <f>B6*(1-'Assumptions &amp; Levers'!B16)</f>
      </c>
      <c r="D6" s="7">
        <f>B6-C6</f>
      </c>
      <c r="E6" s="9">
        <f>'Assumptions &amp; Levers'!B16</f>
      </c>
      <c r="F6" s="7">
        <v>40</v>
      </c>
      <c r="G6" s="7">
        <f>D6-F6</f>
      </c>
      <c r="H6" s="2" t="inlineStr">
        <is>
          <t xml:space="preserve">$175-350 premium/corporate: top oils, aged balsamic, fine chocolate, luxury box.</t>
        </is>
      </c>
    </row>
    <row r="7">
      <c r="A7" s="5" t="inlineStr">
        <is>
          <t xml:space="preserve">Basket — The Bespoke</t>
        </is>
      </c>
      <c r="B7" s="8">
        <v>450</v>
      </c>
      <c r="C7" s="8">
        <f>B7*(1-'Assumptions &amp; Levers'!B16)</f>
      </c>
      <c r="D7" s="8">
        <f>B7-C7</f>
      </c>
      <c r="E7" s="10">
        <f>'Assumptions &amp; Levers'!B16</f>
      </c>
      <c r="F7" s="8">
        <v>70</v>
      </c>
      <c r="G7" s="8">
        <f>D7-F7</f>
      </c>
      <c r="H7" s="5" t="inlineStr">
        <is>
          <t xml:space="preserve">$350+ custom corporate/wedding-scale, branded to a client brief.</t>
        </is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N19"/>
  <sheetViews>
    <sheetView workbookViewId="0">
      <pane xSplit="1" ySplit="1" topLeftCell="B2" activePane="bottomRight" state="frozen"/>
    </sheetView>
  </sheetViews>
  <sheetFormatPr defaultRowHeight="15"/>
  <cols>
    <col min="1" max="1" width="3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9" customWidth="1"/>
  </cols>
  <sheetData>
    <row r="1" ht="22" customHeight="1">
      <c r="A1" s="1" t="inlineStr">
        <is>
          <t xml:space="preserve">Line</t>
        </is>
      </c>
      <c r="B1" s="3" t="inlineStr">
        <is>
          <t xml:space="preserve">Jan</t>
        </is>
      </c>
      <c r="C1" s="3" t="inlineStr">
        <is>
          <t xml:space="preserve">Feb</t>
        </is>
      </c>
      <c r="D1" s="3" t="inlineStr">
        <is>
          <t xml:space="preserve">Mar</t>
        </is>
      </c>
      <c r="E1" s="3" t="inlineStr">
        <is>
          <t xml:space="preserve">Apr</t>
        </is>
      </c>
      <c r="F1" s="3" t="inlineStr">
        <is>
          <t xml:space="preserve">May</t>
        </is>
      </c>
      <c r="G1" s="3" t="inlineStr">
        <is>
          <t xml:space="preserve">Jun</t>
        </is>
      </c>
      <c r="H1" s="3" t="inlineStr">
        <is>
          <t xml:space="preserve">Jul</t>
        </is>
      </c>
      <c r="I1" s="3" t="inlineStr">
        <is>
          <t xml:space="preserve">Aug</t>
        </is>
      </c>
      <c r="J1" s="3" t="inlineStr">
        <is>
          <t xml:space="preserve">Sep</t>
        </is>
      </c>
      <c r="K1" s="3" t="inlineStr">
        <is>
          <t xml:space="preserve">Oct</t>
        </is>
      </c>
      <c r="L1" s="3" t="inlineStr">
        <is>
          <t xml:space="preserve">Nov</t>
        </is>
      </c>
      <c r="M1" s="3" t="inlineStr">
        <is>
          <t xml:space="preserve">Dec</t>
        </is>
      </c>
      <c r="N1" s="3" t="inlineStr">
        <is>
          <t xml:space="preserve">YEAR 1</t>
        </is>
      </c>
    </row>
    <row r="2">
      <c r="A2" s="2" t="inlineStr">
        <is>
          <t xml:space="preserve">Seasonal weight (of annual)</t>
        </is>
      </c>
      <c r="B2" s="9">
        <v>0.055</v>
      </c>
      <c r="C2" s="9">
        <v>0.06</v>
      </c>
      <c r="D2" s="9">
        <v>0.07</v>
      </c>
      <c r="E2" s="9">
        <v>0.07</v>
      </c>
      <c r="F2" s="9">
        <v>0.075</v>
      </c>
      <c r="G2" s="9">
        <v>0.07</v>
      </c>
      <c r="H2" s="9">
        <v>0.06</v>
      </c>
      <c r="I2" s="9">
        <v>0.06</v>
      </c>
      <c r="J2" s="9">
        <v>0.075</v>
      </c>
      <c r="K2" s="9">
        <v>0.08</v>
      </c>
      <c r="L2" s="9">
        <v>0.16</v>
      </c>
      <c r="M2" s="9">
        <v>0.17</v>
      </c>
      <c r="N2" s="7"/>
    </row>
    <row r="3">
      <c r="A3" s="5" t="inlineStr">
        <is>
          <t xml:space="preserve">Total revenue</t>
        </is>
      </c>
      <c r="B3" s="8">
        <f>$N$3*B2*'Assumptions &amp; Levers'!$B$34</f>
      </c>
      <c r="C3" s="8">
        <f>$N$3*C2*'Assumptions &amp; Levers'!$B$34</f>
      </c>
      <c r="D3" s="8">
        <f>$N$3*D2*'Assumptions &amp; Levers'!$B$34</f>
      </c>
      <c r="E3" s="8">
        <f>$N$3*E2*'Assumptions &amp; Levers'!$B$34</f>
      </c>
      <c r="F3" s="8">
        <f>$N$3*F2*'Assumptions &amp; Levers'!$B$34</f>
      </c>
      <c r="G3" s="8">
        <f>$N$3*G2*'Assumptions &amp; Levers'!$B$34</f>
      </c>
      <c r="H3" s="8">
        <f>$N$3*H2*'Assumptions &amp; Levers'!$B$34</f>
      </c>
      <c r="I3" s="8">
        <f>$N$3*I2*'Assumptions &amp; Levers'!$B$34</f>
      </c>
      <c r="J3" s="8">
        <f>$N$3*J2*'Assumptions &amp; Levers'!$B$34</f>
      </c>
      <c r="K3" s="8">
        <f>$N$3*K2*'Assumptions &amp; Levers'!$B$34</f>
      </c>
      <c r="L3" s="8">
        <f>$N$3*L2*'Assumptions &amp; Levers'!$B$34</f>
      </c>
      <c r="M3" s="8">
        <f>$N$3*M2*'Assumptions &amp; Levers'!$B$34</f>
      </c>
      <c r="N3" s="8">
        <f>'Assumptions &amp; Levers'!B29*12*'Assumptions &amp; Levers'!B34</f>
      </c>
    </row>
    <row r="4">
      <c r="A4" s="2" t="inlineStr">
        <is>
          <t xml:space="preserve">  Retail revenue</t>
        </is>
      </c>
      <c r="B4" s="7">
        <f>B3*'Assumptions &amp; Levers'!$B$30</f>
      </c>
      <c r="C4" s="7">
        <f>C3*'Assumptions &amp; Levers'!$B$30</f>
      </c>
      <c r="D4" s="7">
        <f>D3*'Assumptions &amp; Levers'!$B$30</f>
      </c>
      <c r="E4" s="7">
        <f>E3*'Assumptions &amp; Levers'!$B$30</f>
      </c>
      <c r="F4" s="7">
        <f>F3*'Assumptions &amp; Levers'!$B$30</f>
      </c>
      <c r="G4" s="7">
        <f>G3*'Assumptions &amp; Levers'!$B$30</f>
      </c>
      <c r="H4" s="7">
        <f>H3*'Assumptions &amp; Levers'!$B$30</f>
      </c>
      <c r="I4" s="7">
        <f>I3*'Assumptions &amp; Levers'!$B$30</f>
      </c>
      <c r="J4" s="7">
        <f>J3*'Assumptions &amp; Levers'!$B$30</f>
      </c>
      <c r="K4" s="7">
        <f>K3*'Assumptions &amp; Levers'!$B$30</f>
      </c>
      <c r="L4" s="7">
        <f>L3*'Assumptions &amp; Levers'!$B$30</f>
      </c>
      <c r="M4" s="7">
        <f>M3*'Assumptions &amp; Levers'!$B$30</f>
      </c>
      <c r="N4" s="7">
        <f>SUM(B4:M4)</f>
      </c>
    </row>
    <row r="5">
      <c r="A5" s="5" t="inlineStr">
        <is>
          <t xml:space="preserve">  Basket revenue</t>
        </is>
      </c>
      <c r="B5" s="8">
        <f>B3*'Assumptions &amp; Levers'!$B$31</f>
      </c>
      <c r="C5" s="8">
        <f>C3*'Assumptions &amp; Levers'!$B$31</f>
      </c>
      <c r="D5" s="8">
        <f>D3*'Assumptions &amp; Levers'!$B$31</f>
      </c>
      <c r="E5" s="8">
        <f>E3*'Assumptions &amp; Levers'!$B$31</f>
      </c>
      <c r="F5" s="8">
        <f>F3*'Assumptions &amp; Levers'!$B$31</f>
      </c>
      <c r="G5" s="8">
        <f>G3*'Assumptions &amp; Levers'!$B$31</f>
      </c>
      <c r="H5" s="8">
        <f>H3*'Assumptions &amp; Levers'!$B$31</f>
      </c>
      <c r="I5" s="8">
        <f>I3*'Assumptions &amp; Levers'!$B$31</f>
      </c>
      <c r="J5" s="8">
        <f>J3*'Assumptions &amp; Levers'!$B$31</f>
      </c>
      <c r="K5" s="8">
        <f>K3*'Assumptions &amp; Levers'!$B$31</f>
      </c>
      <c r="L5" s="8">
        <f>L3*'Assumptions &amp; Levers'!$B$31</f>
      </c>
      <c r="M5" s="8">
        <f>M3*'Assumptions &amp; Levers'!$B$31</f>
      </c>
      <c r="N5" s="8">
        <f>SUM(B5:M5)</f>
      </c>
    </row>
    <row r="6">
      <c r="A6" s="2" t="inlineStr">
        <is>
          <t xml:space="preserve">  Corporate revenue</t>
        </is>
      </c>
      <c r="B6" s="7">
        <f>B3*'Assumptions &amp; Levers'!$B$32</f>
      </c>
      <c r="C6" s="7">
        <f>C3*'Assumptions &amp; Levers'!$B$32</f>
      </c>
      <c r="D6" s="7">
        <f>D3*'Assumptions &amp; Levers'!$B$32</f>
      </c>
      <c r="E6" s="7">
        <f>E3*'Assumptions &amp; Levers'!$B$32</f>
      </c>
      <c r="F6" s="7">
        <f>F3*'Assumptions &amp; Levers'!$B$32</f>
      </c>
      <c r="G6" s="7">
        <f>G3*'Assumptions &amp; Levers'!$B$32</f>
      </c>
      <c r="H6" s="7">
        <f>H3*'Assumptions &amp; Levers'!$B$32</f>
      </c>
      <c r="I6" s="7">
        <f>I3*'Assumptions &amp; Levers'!$B$32</f>
      </c>
      <c r="J6" s="7">
        <f>J3*'Assumptions &amp; Levers'!$B$32</f>
      </c>
      <c r="K6" s="7">
        <f>K3*'Assumptions &amp; Levers'!$B$32</f>
      </c>
      <c r="L6" s="7">
        <f>L3*'Assumptions &amp; Levers'!$B$32</f>
      </c>
      <c r="M6" s="7">
        <f>M3*'Assumptions &amp; Levers'!$B$32</f>
      </c>
      <c r="N6" s="7">
        <f>SUM(B6:M6)</f>
      </c>
    </row>
    <row r="7">
      <c r="A7" s="5" t="inlineStr">
        <is>
          <t xml:space="preserve">  Wrapping revenue</t>
        </is>
      </c>
      <c r="B7" s="8">
        <f>B3*'Assumptions &amp; Levers'!$B$33</f>
      </c>
      <c r="C7" s="8">
        <f>C3*'Assumptions &amp; Levers'!$B$33</f>
      </c>
      <c r="D7" s="8">
        <f>D3*'Assumptions &amp; Levers'!$B$33</f>
      </c>
      <c r="E7" s="8">
        <f>E3*'Assumptions &amp; Levers'!$B$33</f>
      </c>
      <c r="F7" s="8">
        <f>F3*'Assumptions &amp; Levers'!$B$33</f>
      </c>
      <c r="G7" s="8">
        <f>G3*'Assumptions &amp; Levers'!$B$33</f>
      </c>
      <c r="H7" s="8">
        <f>H3*'Assumptions &amp; Levers'!$B$33</f>
      </c>
      <c r="I7" s="8">
        <f>I3*'Assumptions &amp; Levers'!$B$33</f>
      </c>
      <c r="J7" s="8">
        <f>J3*'Assumptions &amp; Levers'!$B$33</f>
      </c>
      <c r="K7" s="8">
        <f>K3*'Assumptions &amp; Levers'!$B$33</f>
      </c>
      <c r="L7" s="8">
        <f>L3*'Assumptions &amp; Levers'!$B$33</f>
      </c>
      <c r="M7" s="8">
        <f>M3*'Assumptions &amp; Levers'!$B$33</f>
      </c>
      <c r="N7" s="8">
        <f>SUM(B7:M7)</f>
      </c>
    </row>
    <row r="8">
      <c r="A8" s="2" t="inlineStr">
        <is>
          <t xml:space="preserve">COGS (blended by mix)</t>
        </is>
      </c>
      <c r="B8" s="7">
        <f>B4*(1-'Assumptions &amp; Levers'!$B$15)+(B5+B6)*(1-'Assumptions &amp; Levers'!$B$16)+B7*(1-'Assumptions &amp; Levers'!$B$17)</f>
      </c>
      <c r="C8" s="7">
        <f>C4*(1-'Assumptions &amp; Levers'!$B$15)+(C5+C6)*(1-'Assumptions &amp; Levers'!$B$16)+C7*(1-'Assumptions &amp; Levers'!$B$17)</f>
      </c>
      <c r="D8" s="7">
        <f>D4*(1-'Assumptions &amp; Levers'!$B$15)+(D5+D6)*(1-'Assumptions &amp; Levers'!$B$16)+D7*(1-'Assumptions &amp; Levers'!$B$17)</f>
      </c>
      <c r="E8" s="7">
        <f>E4*(1-'Assumptions &amp; Levers'!$B$15)+(E5+E6)*(1-'Assumptions &amp; Levers'!$B$16)+E7*(1-'Assumptions &amp; Levers'!$B$17)</f>
      </c>
      <c r="F8" s="7">
        <f>F4*(1-'Assumptions &amp; Levers'!$B$15)+(F5+F6)*(1-'Assumptions &amp; Levers'!$B$16)+F7*(1-'Assumptions &amp; Levers'!$B$17)</f>
      </c>
      <c r="G8" s="7">
        <f>G4*(1-'Assumptions &amp; Levers'!$B$15)+(G5+G6)*(1-'Assumptions &amp; Levers'!$B$16)+G7*(1-'Assumptions &amp; Levers'!$B$17)</f>
      </c>
      <c r="H8" s="7">
        <f>H4*(1-'Assumptions &amp; Levers'!$B$15)+(H5+H6)*(1-'Assumptions &amp; Levers'!$B$16)+H7*(1-'Assumptions &amp; Levers'!$B$17)</f>
      </c>
      <c r="I8" s="7">
        <f>I4*(1-'Assumptions &amp; Levers'!$B$15)+(I5+I6)*(1-'Assumptions &amp; Levers'!$B$16)+I7*(1-'Assumptions &amp; Levers'!$B$17)</f>
      </c>
      <c r="J8" s="7">
        <f>J4*(1-'Assumptions &amp; Levers'!$B$15)+(J5+J6)*(1-'Assumptions &amp; Levers'!$B$16)+J7*(1-'Assumptions &amp; Levers'!$B$17)</f>
      </c>
      <c r="K8" s="7">
        <f>K4*(1-'Assumptions &amp; Levers'!$B$15)+(K5+K6)*(1-'Assumptions &amp; Levers'!$B$16)+K7*(1-'Assumptions &amp; Levers'!$B$17)</f>
      </c>
      <c r="L8" s="7">
        <f>L4*(1-'Assumptions &amp; Levers'!$B$15)+(L5+L6)*(1-'Assumptions &amp; Levers'!$B$16)+L7*(1-'Assumptions &amp; Levers'!$B$17)</f>
      </c>
      <c r="M8" s="7">
        <f>M4*(1-'Assumptions &amp; Levers'!$B$15)+(M5+M6)*(1-'Assumptions &amp; Levers'!$B$16)+M7*(1-'Assumptions &amp; Levers'!$B$17)</f>
      </c>
      <c r="N8" s="7">
        <f>SUM(B8:M8)</f>
      </c>
    </row>
    <row r="9">
      <c r="A9" s="5" t="inlineStr">
        <is>
          <t xml:space="preserve">GROSS PROFIT</t>
        </is>
      </c>
      <c r="B9" s="8">
        <f>B3-B8</f>
      </c>
      <c r="C9" s="8">
        <f>C3-C8</f>
      </c>
      <c r="D9" s="8">
        <f>D3-D8</f>
      </c>
      <c r="E9" s="8">
        <f>E3-E8</f>
      </c>
      <c r="F9" s="8">
        <f>F3-F8</f>
      </c>
      <c r="G9" s="8">
        <f>G3-G8</f>
      </c>
      <c r="H9" s="8">
        <f>H3-H8</f>
      </c>
      <c r="I9" s="8">
        <f>I3-I8</f>
      </c>
      <c r="J9" s="8">
        <f>J3-J8</f>
      </c>
      <c r="K9" s="8">
        <f>K3-K8</f>
      </c>
      <c r="L9" s="8">
        <f>L3-L8</f>
      </c>
      <c r="M9" s="8">
        <f>M3-M8</f>
      </c>
      <c r="N9" s="8">
        <f>SUM(B9:M9)</f>
      </c>
    </row>
    <row r="10">
      <c r="A10" s="2" t="inlineStr">
        <is>
          <t xml:space="preserve">Rent + NNN</t>
        </is>
      </c>
      <c r="B10" s="7">
        <f>('Assumptions &amp; Levers'!$B$4+'Assumptions &amp; Levers'!$B$5)*'Assumptions &amp; Levers'!$B$3/12</f>
      </c>
      <c r="C10" s="7">
        <f>B10</f>
      </c>
      <c r="D10" s="7">
        <f>B10</f>
      </c>
      <c r="E10" s="7">
        <f>B10</f>
      </c>
      <c r="F10" s="7">
        <f>B10</f>
      </c>
      <c r="G10" s="7">
        <f>B10</f>
      </c>
      <c r="H10" s="7">
        <f>B10</f>
      </c>
      <c r="I10" s="7">
        <f>B10</f>
      </c>
      <c r="J10" s="7">
        <f>B10</f>
      </c>
      <c r="K10" s="7">
        <f>B10</f>
      </c>
      <c r="L10" s="7">
        <f>B10</f>
      </c>
      <c r="M10" s="7">
        <f>B10</f>
      </c>
      <c r="N10" s="7">
        <f>SUM(B10:M10)</f>
      </c>
    </row>
    <row r="11">
      <c r="A11" s="5" t="inlineStr">
        <is>
          <t xml:space="preserve">Operator salary</t>
        </is>
      </c>
      <c r="B11" s="8">
        <f>'Assumptions &amp; Levers'!$B$19/12</f>
      </c>
      <c r="C11" s="8">
        <f>B11</f>
      </c>
      <c r="D11" s="8">
        <f>B11</f>
      </c>
      <c r="E11" s="8">
        <f>B11</f>
      </c>
      <c r="F11" s="8">
        <f>B11</f>
      </c>
      <c r="G11" s="8">
        <f>B11</f>
      </c>
      <c r="H11" s="8">
        <f>B11</f>
      </c>
      <c r="I11" s="8">
        <f>B11</f>
      </c>
      <c r="J11" s="8">
        <f>B11</f>
      </c>
      <c r="K11" s="8">
        <f>B11</f>
      </c>
      <c r="L11" s="8">
        <f>B11</f>
      </c>
      <c r="M11" s="8">
        <f>B11</f>
      </c>
      <c r="N11" s="8">
        <f>SUM(B11:M11)</f>
      </c>
    </row>
    <row r="12">
      <c r="A12" s="2" t="inlineStr">
        <is>
          <t xml:space="preserve">Part-time labor</t>
        </is>
      </c>
      <c r="B12" s="7">
        <f>'Assumptions &amp; Levers'!$B$20*'Assumptions &amp; Levers'!$B$21*4.33</f>
      </c>
      <c r="C12" s="7">
        <f>B12</f>
      </c>
      <c r="D12" s="7">
        <f>B12</f>
      </c>
      <c r="E12" s="7">
        <f>B12</f>
      </c>
      <c r="F12" s="7">
        <f>B12</f>
      </c>
      <c r="G12" s="7">
        <f>B12</f>
      </c>
      <c r="H12" s="7">
        <f>B12</f>
      </c>
      <c r="I12" s="7">
        <f>B12</f>
      </c>
      <c r="J12" s="7">
        <f>B12</f>
      </c>
      <c r="K12" s="7">
        <f>'Assumptions &amp; Levers'!$B$20*'Assumptions &amp; Levers'!$B$22*4.33</f>
      </c>
      <c r="L12" s="7">
        <f>'Assumptions &amp; Levers'!$B$20*'Assumptions &amp; Levers'!$B$22*4.33</f>
      </c>
      <c r="M12" s="7">
        <f>B12</f>
      </c>
      <c r="N12" s="7">
        <f>SUM(B12:M12)</f>
      </c>
    </row>
    <row r="13">
      <c r="A13" s="5" t="inlineStr">
        <is>
          <t xml:space="preserve">Insurance</t>
        </is>
      </c>
      <c r="B13" s="8">
        <f>'Assumptions &amp; Levers'!$B$24/12</f>
      </c>
      <c r="C13" s="8">
        <f>B13</f>
      </c>
      <c r="D13" s="8">
        <f>B13</f>
      </c>
      <c r="E13" s="8">
        <f>B13</f>
      </c>
      <c r="F13" s="8">
        <f>B13</f>
      </c>
      <c r="G13" s="8">
        <f>B13</f>
      </c>
      <c r="H13" s="8">
        <f>B13</f>
      </c>
      <c r="I13" s="8">
        <f>B13</f>
      </c>
      <c r="J13" s="8">
        <f>B13</f>
      </c>
      <c r="K13" s="8">
        <f>B13</f>
      </c>
      <c r="L13" s="8">
        <f>B13</f>
      </c>
      <c r="M13" s="8">
        <f>B13</f>
      </c>
      <c r="N13" s="8">
        <f>SUM(B13:M13)</f>
      </c>
    </row>
    <row r="14">
      <c r="A14" s="2" t="inlineStr">
        <is>
          <t xml:space="preserve">Utilities</t>
        </is>
      </c>
      <c r="B14" s="7">
        <f>'Assumptions &amp; Levers'!$B$25</f>
      </c>
      <c r="C14" s="7">
        <f>B14</f>
      </c>
      <c r="D14" s="7">
        <f>B14</f>
      </c>
      <c r="E14" s="7">
        <f>B14</f>
      </c>
      <c r="F14" s="7">
        <f>B14</f>
      </c>
      <c r="G14" s="7">
        <f>B14</f>
      </c>
      <c r="H14" s="7">
        <f>B14</f>
      </c>
      <c r="I14" s="7">
        <f>B14</f>
      </c>
      <c r="J14" s="7">
        <f>B14</f>
      </c>
      <c r="K14" s="7">
        <f>B14</f>
      </c>
      <c r="L14" s="7">
        <f>B14</f>
      </c>
      <c r="M14" s="7">
        <f>B14</f>
      </c>
      <c r="N14" s="7">
        <f>SUM(B14:M14)</f>
      </c>
    </row>
    <row r="15">
      <c r="A15" s="5" t="inlineStr">
        <is>
          <t xml:space="preserve">Marketing</t>
        </is>
      </c>
      <c r="B15" s="8">
        <f>'Assumptions &amp; Levers'!$B$26</f>
      </c>
      <c r="C15" s="8">
        <f>B15</f>
      </c>
      <c r="D15" s="8">
        <f>B15</f>
      </c>
      <c r="E15" s="8">
        <f>B15</f>
      </c>
      <c r="F15" s="8">
        <f>B15</f>
      </c>
      <c r="G15" s="8">
        <f>B15</f>
      </c>
      <c r="H15" s="8">
        <f>B15</f>
      </c>
      <c r="I15" s="8">
        <f>B15</f>
      </c>
      <c r="J15" s="8">
        <f>B15</f>
      </c>
      <c r="K15" s="8">
        <f>B15</f>
      </c>
      <c r="L15" s="8">
        <f>B15</f>
      </c>
      <c r="M15" s="8">
        <f>B15</f>
      </c>
      <c r="N15" s="8">
        <f>SUM(B15:M15)</f>
      </c>
    </row>
    <row r="16">
      <c r="A16" s="2" t="inlineStr">
        <is>
          <t xml:space="preserve">Misc opex</t>
        </is>
      </c>
      <c r="B16" s="7">
        <f>'Assumptions &amp; Levers'!$B$27</f>
      </c>
      <c r="C16" s="7">
        <f>B16</f>
      </c>
      <c r="D16" s="7">
        <f>B16</f>
      </c>
      <c r="E16" s="7">
        <f>B16</f>
      </c>
      <c r="F16" s="7">
        <f>B16</f>
      </c>
      <c r="G16" s="7">
        <f>B16</f>
      </c>
      <c r="H16" s="7">
        <f>B16</f>
      </c>
      <c r="I16" s="7">
        <f>B16</f>
      </c>
      <c r="J16" s="7">
        <f>B16</f>
      </c>
      <c r="K16" s="7">
        <f>B16</f>
      </c>
      <c r="L16" s="7">
        <f>B16</f>
      </c>
      <c r="M16" s="7">
        <f>B16</f>
      </c>
      <c r="N16" s="7">
        <f>SUM(B16:M16)</f>
      </c>
    </row>
    <row r="17">
      <c r="A17" s="5" t="inlineStr">
        <is>
          <t xml:space="preserve">TOTAL OPEX</t>
        </is>
      </c>
      <c r="B17" s="8">
        <f>SUM(B10:B16)</f>
      </c>
      <c r="C17" s="8">
        <f>SUM(C10:C16)</f>
      </c>
      <c r="D17" s="8">
        <f>SUM(D10:D16)</f>
      </c>
      <c r="E17" s="8">
        <f>SUM(E10:E16)</f>
      </c>
      <c r="F17" s="8">
        <f>SUM(F10:F16)</f>
      </c>
      <c r="G17" s="8">
        <f>SUM(G10:G16)</f>
      </c>
      <c r="H17" s="8">
        <f>SUM(H10:H16)</f>
      </c>
      <c r="I17" s="8">
        <f>SUM(I10:I16)</f>
      </c>
      <c r="J17" s="8">
        <f>SUM(J10:J16)</f>
      </c>
      <c r="K17" s="8">
        <f>SUM(K10:K16)</f>
      </c>
      <c r="L17" s="8">
        <f>SUM(L10:L16)</f>
      </c>
      <c r="M17" s="8">
        <f>SUM(M10:M16)</f>
      </c>
      <c r="N17" s="8">
        <f>SUM(B17:M17)</f>
      </c>
    </row>
    <row r="18">
      <c r="A18" s="2" t="inlineStr">
        <is>
          <t xml:space="preserve">OPERATING INCOME</t>
        </is>
      </c>
      <c r="B18" s="7">
        <f>B9-B17</f>
      </c>
      <c r="C18" s="7">
        <f>C9-C17</f>
      </c>
      <c r="D18" s="7">
        <f>D9-D17</f>
      </c>
      <c r="E18" s="7">
        <f>E9-E17</f>
      </c>
      <c r="F18" s="7">
        <f>F9-F17</f>
      </c>
      <c r="G18" s="7">
        <f>G9-G17</f>
      </c>
      <c r="H18" s="7">
        <f>H9-H17</f>
      </c>
      <c r="I18" s="7">
        <f>I9-I17</f>
      </c>
      <c r="J18" s="7">
        <f>J9-J17</f>
      </c>
      <c r="K18" s="7">
        <f>K9-K17</f>
      </c>
      <c r="L18" s="7">
        <f>L9-L17</f>
      </c>
      <c r="M18" s="7">
        <f>M9-M17</f>
      </c>
      <c r="N18" s="7">
        <f>N9-N17</f>
      </c>
    </row>
    <row r="19">
      <c r="A19" s="5" t="inlineStr">
        <is>
          <t xml:space="preserve">Cumulative cash flow</t>
        </is>
      </c>
      <c r="B19" s="8">
        <f>B18</f>
      </c>
      <c r="C19" s="8">
        <f>B19+C18</f>
      </c>
      <c r="D19" s="8">
        <f>C19+D18</f>
      </c>
      <c r="E19" s="8">
        <f>D19+E18</f>
      </c>
      <c r="F19" s="8">
        <f>E19+F18</f>
      </c>
      <c r="G19" s="8">
        <f>F19+G18</f>
      </c>
      <c r="H19" s="8">
        <f>G19+H18</f>
      </c>
      <c r="I19" s="8">
        <f>H19+I18</f>
      </c>
      <c r="J19" s="8">
        <f>I19+J18</f>
      </c>
      <c r="K19" s="8">
        <f>J19+K18</f>
      </c>
      <c r="L19" s="8">
        <f>K19+L18</f>
      </c>
      <c r="M19" s="8">
        <f>L19+M18</f>
      </c>
      <c r="N19" s="8">
        <f>M19</f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pane xSplit="1" ySplit="1" topLeftCell="B2" activePane="bottomRight" state="frozen"/>
    </sheetView>
  </sheetViews>
  <sheetFormatPr defaultRowHeight="15"/>
  <cols>
    <col min="1" max="1" width="22" customWidth="1"/>
    <col min="2" max="2" width="9" customWidth="1"/>
    <col min="3" max="3" width="9" customWidth="1"/>
    <col min="4" max="4" width="9" customWidth="1"/>
  </cols>
  <sheetData>
    <row r="1" ht="22" customHeight="1">
      <c r="A1" s="1" t="inlineStr">
        <is>
          <t xml:space="preserve">Line</t>
        </is>
      </c>
      <c r="B1" s="3" t="inlineStr">
        <is>
          <t xml:space="preserve">Year 1</t>
        </is>
      </c>
      <c r="C1" s="3" t="inlineStr">
        <is>
          <t xml:space="preserve">Year 2</t>
        </is>
      </c>
      <c r="D1" s="3" t="inlineStr">
        <is>
          <t xml:space="preserve">Year 3</t>
        </is>
      </c>
    </row>
    <row r="2">
      <c r="A2" s="2" t="inlineStr">
        <is>
          <t xml:space="preserve">Total revenue</t>
        </is>
      </c>
      <c r="B2" s="7">
        <f>'P&amp;L Year 1 Monthly'!N3</f>
      </c>
      <c r="C2" s="7">
        <f>B2*(1+'Assumptions &amp; Levers'!B35)</f>
      </c>
      <c r="D2" s="7">
        <f>C2*(1+'Assumptions &amp; Levers'!B36)</f>
      </c>
    </row>
    <row r="3">
      <c r="A3" s="5" t="inlineStr">
        <is>
          <t xml:space="preserve">  Retail revenue</t>
        </is>
      </c>
      <c r="B3" s="8">
        <f>B2*'Assumptions &amp; Levers'!B30</f>
      </c>
      <c r="C3" s="8">
        <f>C2*'Assumptions &amp; Levers'!B30</f>
      </c>
      <c r="D3" s="8">
        <f>D2*'Assumptions &amp; Levers'!B30</f>
      </c>
    </row>
    <row r="4">
      <c r="A4" s="2" t="inlineStr">
        <is>
          <t xml:space="preserve">  Basket revenue</t>
        </is>
      </c>
      <c r="B4" s="7">
        <f>B2*'Assumptions &amp; Levers'!B31</f>
      </c>
      <c r="C4" s="7">
        <f>C2*'Assumptions &amp; Levers'!B31</f>
      </c>
      <c r="D4" s="7">
        <f>D2*'Assumptions &amp; Levers'!B31</f>
      </c>
    </row>
    <row r="5">
      <c r="A5" s="5" t="inlineStr">
        <is>
          <t xml:space="preserve">  Corporate revenue</t>
        </is>
      </c>
      <c r="B5" s="8">
        <f>B2*'Assumptions &amp; Levers'!B32</f>
      </c>
      <c r="C5" s="8">
        <f>C2*'Assumptions &amp; Levers'!B32</f>
      </c>
      <c r="D5" s="8">
        <f>D2*'Assumptions &amp; Levers'!B32</f>
      </c>
    </row>
    <row r="6">
      <c r="A6" s="2" t="inlineStr">
        <is>
          <t xml:space="preserve">  Wrapping revenue</t>
        </is>
      </c>
      <c r="B6" s="7">
        <f>B2*'Assumptions &amp; Levers'!B33</f>
      </c>
      <c r="C6" s="7">
        <f>C2*'Assumptions &amp; Levers'!B33</f>
      </c>
      <c r="D6" s="7">
        <f>D2*'Assumptions &amp; Levers'!B33</f>
      </c>
    </row>
    <row r="7">
      <c r="A7" s="5" t="inlineStr">
        <is>
          <t xml:space="preserve">COGS (blended)</t>
        </is>
      </c>
      <c r="B7" s="8">
        <f>B3*(1-'Assumptions &amp; Levers'!B15)+(B4+B5)*(1-'Assumptions &amp; Levers'!B16)+B6*(1-'Assumptions &amp; Levers'!B17)</f>
      </c>
      <c r="C7" s="8">
        <f>C3*(1-'Assumptions &amp; Levers'!B15)+(C4+C5)*(1-'Assumptions &amp; Levers'!B16)+C6*(1-'Assumptions &amp; Levers'!B17)</f>
      </c>
      <c r="D7" s="8">
        <f>D3*(1-'Assumptions &amp; Levers'!B15)+(D4+D5)*(1-'Assumptions &amp; Levers'!B16)+D6*(1-'Assumptions &amp; Levers'!B17)</f>
      </c>
    </row>
    <row r="8">
      <c r="A8" s="2" t="inlineStr">
        <is>
          <t xml:space="preserve">GROSS PROFIT</t>
        </is>
      </c>
      <c r="B8" s="7">
        <f>B2-B7</f>
      </c>
      <c r="C8" s="7">
        <f>C2-C7</f>
      </c>
      <c r="D8" s="7">
        <f>D2-D7</f>
      </c>
    </row>
    <row r="9">
      <c r="A9" s="5" t="inlineStr">
        <is>
          <t xml:space="preserve">Rent + NNN</t>
        </is>
      </c>
      <c r="B9" s="8">
        <f>('Assumptions &amp; Levers'!B4+'Assumptions &amp; Levers'!B5)*'Assumptions &amp; Levers'!B3</f>
      </c>
      <c r="C9" s="8">
        <f>B9</f>
      </c>
      <c r="D9" s="8">
        <f>B9</f>
      </c>
    </row>
    <row r="10">
      <c r="A10" s="2" t="inlineStr">
        <is>
          <t xml:space="preserve">Operator salary</t>
        </is>
      </c>
      <c r="B10" s="7">
        <f>'Assumptions &amp; Levers'!B19</f>
      </c>
      <c r="C10" s="7">
        <f>'Assumptions &amp; Levers'!B19</f>
      </c>
      <c r="D10" s="7">
        <f>'Assumptions &amp; Levers'!B19</f>
      </c>
    </row>
    <row r="11">
      <c r="A11" s="5" t="inlineStr">
        <is>
          <t xml:space="preserve">Part-time labor</t>
        </is>
      </c>
      <c r="B11" s="8">
        <f>'P&amp;L Year 1 Monthly'!N12</f>
      </c>
      <c r="C11" s="8">
        <f>B11*1.15</f>
      </c>
      <c r="D11" s="8">
        <f>B11*1.25</f>
      </c>
    </row>
    <row r="12">
      <c r="A12" s="2" t="inlineStr">
        <is>
          <t xml:space="preserve">Insurance</t>
        </is>
      </c>
      <c r="B12" s="7">
        <f>'Assumptions &amp; Levers'!B24</f>
      </c>
      <c r="C12" s="7">
        <f>B12</f>
      </c>
      <c r="D12" s="7">
        <f>B12</f>
      </c>
    </row>
    <row r="13">
      <c r="A13" s="5" t="inlineStr">
        <is>
          <t xml:space="preserve">Utilities</t>
        </is>
      </c>
      <c r="B13" s="8">
        <f>'Assumptions &amp; Levers'!B25*12</f>
      </c>
      <c r="C13" s="8">
        <f>B13</f>
      </c>
      <c r="D13" s="8">
        <f>B13</f>
      </c>
    </row>
    <row r="14">
      <c r="A14" s="2" t="inlineStr">
        <is>
          <t xml:space="preserve">Marketing</t>
        </is>
      </c>
      <c r="B14" s="7">
        <f>'Assumptions &amp; Levers'!B26*12</f>
      </c>
      <c r="C14" s="7">
        <f>B14</f>
      </c>
      <c r="D14" s="7">
        <f>B14</f>
      </c>
    </row>
    <row r="15">
      <c r="A15" s="5" t="inlineStr">
        <is>
          <t xml:space="preserve">Misc opex</t>
        </is>
      </c>
      <c r="B15" s="8">
        <f>'Assumptions &amp; Levers'!B27*12</f>
      </c>
      <c r="C15" s="8">
        <f>B15</f>
      </c>
      <c r="D15" s="8">
        <f>B15</f>
      </c>
    </row>
    <row r="16">
      <c r="A16" s="2" t="inlineStr">
        <is>
          <t xml:space="preserve">TOTAL OPEX</t>
        </is>
      </c>
      <c r="B16" s="7">
        <f>SUM(B9:B15)</f>
      </c>
      <c r="C16" s="7">
        <f>SUM(C9:C15)</f>
      </c>
      <c r="D16" s="7">
        <f>SUM(D9:D15)</f>
      </c>
    </row>
    <row r="17">
      <c r="A17" s="5" t="inlineStr">
        <is>
          <t xml:space="preserve">OPERATING INCOME</t>
        </is>
      </c>
      <c r="B17" s="8">
        <f>B8-B16</f>
      </c>
      <c r="C17" s="8">
        <f>C8-C16</f>
      </c>
      <c r="D17" s="8">
        <f>D8-D16</f>
      </c>
    </row>
    <row r="18">
      <c r="A18" s="2" t="inlineStr">
        <is>
          <t xml:space="preserve">Operating margin %</t>
        </is>
      </c>
      <c r="B18" s="9">
        <f>B17/B2</f>
      </c>
      <c r="C18" s="9">
        <f>C17/C2</f>
      </c>
      <c r="D18" s="9">
        <f>D17/D2</f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pane ySplit="1" topLeftCell="A2" activePane="bottomLeft" state="frozen"/>
    </sheetView>
  </sheetViews>
  <sheetFormatPr defaultRowHeight="15"/>
  <cols>
    <col min="1" max="1" width="58" customWidth="1"/>
    <col min="2" max="2" width="8" customWidth="1"/>
    <col min="3" max="3" width="60" customWidth="1"/>
  </cols>
  <sheetData>
    <row r="1" ht="22" customHeight="1">
      <c r="A1" s="1" t="inlineStr">
        <is>
          <t xml:space="preserve">Metric</t>
        </is>
      </c>
      <c r="B1" s="3" t="inlineStr">
        <is>
          <t xml:space="preserve">Value</t>
        </is>
      </c>
      <c r="C1" s="1" t="inlineStr">
        <is>
          <t xml:space="preserve">How it is computed / what it means</t>
        </is>
      </c>
    </row>
    <row r="2">
      <c r="A2" s="2" t="inlineStr">
        <is>
          <t xml:space="preserve">— MONTHLY FIXED COST (the bar to clear) —</t>
        </is>
      </c>
      <c r="B2" s="7"/>
      <c r="C2" s="2" t="inlineStr">
        <is>
          <t xml:space="preserve"/>
        </is>
      </c>
    </row>
    <row r="3">
      <c r="A3" s="5" t="inlineStr">
        <is>
          <t xml:space="preserve">Rent + NNN / mo</t>
        </is>
      </c>
      <c r="B3" s="8">
        <f>('Assumptions &amp; Levers'!B4+'Assumptions &amp; Levers'!B5)*'Assumptions &amp; Levers'!B3/12</f>
      </c>
      <c r="C3" s="5" t="inlineStr">
        <is>
          <t xml:space="preserve">Annual rent from Assumptions ÷ 12.</t>
        </is>
      </c>
    </row>
    <row r="4">
      <c r="A4" s="2" t="inlineStr">
        <is>
          <t xml:space="preserve">Operator salary / mo</t>
        </is>
      </c>
      <c r="B4" s="7">
        <f>'Assumptions &amp; Levers'!B19/12</f>
      </c>
      <c r="C4" s="2" t="inlineStr">
        <is>
          <t xml:space="preserve">The success test. Operator salary ÷ 12.</t>
        </is>
      </c>
    </row>
    <row r="5">
      <c r="A5" s="5" t="inlineStr">
        <is>
          <t xml:space="preserve">Part-time labor / mo (base)</t>
        </is>
      </c>
      <c r="B5" s="8">
        <f>'Assumptions &amp; Levers'!B20*'Assumptions &amp; Levers'!B21*4.33</f>
      </c>
      <c r="C5" s="5" t="inlineStr">
        <is>
          <t xml:space="preserve">Base-month PT coverage (4.33 wk/mo).</t>
        </is>
      </c>
    </row>
    <row r="6">
      <c r="A6" s="2" t="inlineStr">
        <is>
          <t xml:space="preserve">Insurance / mo</t>
        </is>
      </c>
      <c r="B6" s="7">
        <f>'Assumptions &amp; Levers'!B24/12</f>
      </c>
      <c r="C6" s="2" t="inlineStr">
        <is>
          <t xml:space="preserve">Annual insurance ÷ 12.</t>
        </is>
      </c>
    </row>
    <row r="7">
      <c r="A7" s="5" t="inlineStr">
        <is>
          <t xml:space="preserve">Utilities / mo</t>
        </is>
      </c>
      <c r="B7" s="8">
        <f>'Assumptions &amp; Levers'!B25</f>
      </c>
      <c r="C7" s="5" t="inlineStr">
        <is>
          <t xml:space="preserve">From Assumptions.</t>
        </is>
      </c>
    </row>
    <row r="8">
      <c r="A8" s="2" t="inlineStr">
        <is>
          <t xml:space="preserve">Marketing / mo</t>
        </is>
      </c>
      <c r="B8" s="7">
        <f>'Assumptions &amp; Levers'!B26</f>
      </c>
      <c r="C8" s="2" t="inlineStr">
        <is>
          <t xml:space="preserve">From Assumptions.</t>
        </is>
      </c>
    </row>
    <row r="9">
      <c r="A9" s="5" t="inlineStr">
        <is>
          <t xml:space="preserve">Misc opex / mo</t>
        </is>
      </c>
      <c r="B9" s="8">
        <f>'Assumptions &amp; Levers'!B27</f>
      </c>
      <c r="C9" s="5" t="inlineStr">
        <is>
          <t xml:space="preserve">From Assumptions.</t>
        </is>
      </c>
    </row>
    <row r="10">
      <c r="A10" s="2" t="inlineStr">
        <is>
          <t xml:space="preserve">TOTAL MONTHLY FIXED COST</t>
        </is>
      </c>
      <c r="B10" s="7">
        <f>SUM(B3:B9)</f>
      </c>
      <c r="C10" s="2" t="inlineStr">
        <is>
          <t xml:space="preserve">The nut the store must cover every month, operator salary included.</t>
        </is>
      </c>
    </row>
    <row r="11">
      <c r="A11" s="5" t="inlineStr">
        <is>
          <t xml:space="preserve"/>
        </is>
      </c>
      <c r="B11" s="8"/>
      <c r="C11" s="5" t="inlineStr">
        <is>
          <t xml:space="preserve"/>
        </is>
      </c>
    </row>
    <row r="12">
      <c r="A12" s="2" t="inlineStr">
        <is>
          <t xml:space="preserve">— BREAK-EVEN REVENUE —</t>
        </is>
      </c>
      <c r="B12" s="7"/>
      <c r="C12" s="2" t="inlineStr">
        <is>
          <t xml:space="preserve"/>
        </is>
      </c>
    </row>
    <row r="13">
      <c r="A13" s="5" t="inlineStr">
        <is>
          <t xml:space="preserve">Blended gross margin %</t>
        </is>
      </c>
      <c r="B13" s="10">
        <f>'Assumptions &amp; Levers'!B30*'Assumptions &amp; Levers'!B15+('Assumptions &amp; Levers'!B31+'Assumptions &amp; Levers'!B32)*'Assumptions &amp; Levers'!B16+'Assumptions &amp; Levers'!B33*'Assumptions &amp; Levers'!B17</f>
      </c>
      <c r="C13" s="5" t="inlineStr">
        <is>
          <t xml:space="preserve">Weighted by revenue mix: retail, baskets, corporate, wrapping.</t>
        </is>
      </c>
    </row>
    <row r="14">
      <c r="A14" s="2" t="inlineStr">
        <is>
          <t xml:space="preserve">BREAK-EVEN REVENUE / MONTH</t>
        </is>
      </c>
      <c r="B14" s="7">
        <f>B10/B13</f>
      </c>
      <c r="C14" s="2" t="inlineStr">
        <is>
          <t xml:space="preserve">Monthly fixed cost ÷ blended GM%. The sales/month at which operator salary is covered AND cash flow turns positive.</t>
        </is>
      </c>
    </row>
    <row r="15">
      <c r="A15" s="5" t="inlineStr">
        <is>
          <t xml:space="preserve">Base-case mature revenue / month</t>
        </is>
      </c>
      <c r="B15" s="8">
        <f>'Assumptions &amp; Levers'!B29</f>
      </c>
      <c r="C15" s="5" t="inlineStr">
        <is>
          <t xml:space="preserve">Year-1 mature monthly run-rate from Assumptions.</t>
        </is>
      </c>
    </row>
    <row r="16">
      <c r="A16" s="2" t="inlineStr">
        <is>
          <t xml:space="preserve">Margin of safety at mature run-rate</t>
        </is>
      </c>
      <c r="B16" s="7">
        <f>B15-B14</f>
      </c>
      <c r="C16" s="2" t="inlineStr">
        <is>
          <t xml:space="preserve">Mature revenue minus break-even. Positive = the store clears its nut in a normal month.</t>
        </is>
      </c>
    </row>
    <row r="17">
      <c r="A17" s="5" t="inlineStr">
        <is>
          <t xml:space="preserve"/>
        </is>
      </c>
      <c r="B17" s="8"/>
      <c r="C17" s="5" t="inlineStr">
        <is>
          <t xml:space="preserve"/>
        </is>
      </c>
    </row>
    <row r="18">
      <c r="A18" s="2" t="inlineStr">
        <is>
          <t xml:space="preserve">— WHEN THE RAMP CROSSES BREAK-EVEN —</t>
        </is>
      </c>
      <c r="B18" s="7"/>
      <c r="C18" s="2" t="inlineStr">
        <is>
          <t xml:space="preserve"/>
        </is>
      </c>
    </row>
    <row r="19">
      <c r="A19" s="5" t="inlineStr">
        <is>
          <t xml:space="preserve">Break-even revenue / month (repeat)</t>
        </is>
      </c>
      <c r="B19" s="8">
        <f>B14</f>
      </c>
      <c r="C19" s="5" t="inlineStr">
        <is>
          <t xml:space="preserve">The line to cross.</t>
        </is>
      </c>
    </row>
    <row r="20">
      <c r="A20" s="2" t="inlineStr">
        <is>
          <t xml:space="preserve">Peak month (Dec) revenue, Year 1</t>
        </is>
      </c>
      <c r="B20" s="7">
        <f>'P&amp;L Year 1 Monthly'!M3</f>
      </c>
      <c r="C20" s="2" t="inlineStr">
        <is>
          <t xml:space="preserve">Peak clears break-even comfortably — the store makes its year in Q4.</t>
        </is>
      </c>
    </row>
    <row r="21">
      <c r="A21" s="5" t="inlineStr">
        <is>
          <t xml:space="preserve">Slowest month (Jan) revenue, Year 1</t>
        </is>
      </c>
      <c r="B21" s="8">
        <f>'P&amp;L Year 1 Monthly'!B3</f>
      </c>
      <c r="C21" s="5" t="inlineStr">
        <is>
          <t xml:space="preserve">The real test (spine §5): does the slow month clear the nut? If below break-even, corporate gifting must pull it over.</t>
        </is>
      </c>
    </row>
    <row r="22">
      <c r="A22" s="2" t="inlineStr">
        <is>
          <t xml:space="preserve"/>
        </is>
      </c>
      <c r="B22" s="7"/>
      <c r="C22" s="2" t="inlineStr">
        <is>
          <t xml:space="preserve"/>
        </is>
      </c>
    </row>
    <row r="23">
      <c r="A23" s="5" t="inlineStr">
        <is>
          <t xml:space="preserve">— OPERATING CASH RUNWAY (POOL 2, separate from $200k) —</t>
        </is>
      </c>
      <c r="B23" s="8"/>
      <c r="C23" s="5" t="inlineStr">
        <is>
          <t xml:space="preserve"/>
        </is>
      </c>
    </row>
    <row r="24">
      <c r="A24" s="2" t="inlineStr">
        <is>
          <t xml:space="preserve">Deepest cumulative cash valley, Year 1</t>
        </is>
      </c>
      <c r="B24" s="7">
        <f>MIN('P&amp;L Year 1 Monthly'!B19:M19)</f>
      </c>
      <c r="C24" s="2" t="inlineStr">
        <is>
          <t xml:space="preserve">The most-negative cumulative operating cash flow across Year 1 (funds the pre-holiday inventory build + ramp).</t>
        </is>
      </c>
    </row>
    <row r="25">
      <c r="A25" s="5" t="inlineStr">
        <is>
          <t xml:space="preserve">Operating cash pool — recommended</t>
        </is>
      </c>
      <c r="B25" s="8">
        <f>-B24+B10*3</f>
      </c>
      <c r="C25" s="5" t="inlineStr">
        <is>
          <t xml:space="preserve">The valley (as a positive need) plus ~3 months fixed-cost buffer: carry the store through ramp + the seasonal valley to break-even. 12-18 months of runway.</t>
        </is>
      </c>
    </row>
    <row r="26">
      <c r="A26" s="2" t="inlineStr">
        <is>
          <t xml:space="preserve">Months of fixed cost this represents</t>
        </is>
      </c>
      <c r="B26" s="4">
        <f>B25/B10</f>
      </c>
      <c r="C26" s="2" t="inlineStr">
        <is>
          <t xml:space="preserve">Recommended pool ÷ monthly fixed cost — the runway in months.</t>
        </is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ySplit="1" topLeftCell="A2" activePane="bottomLeft" state="frozen"/>
    </sheetView>
  </sheetViews>
  <sheetFormatPr defaultRowHeight="15"/>
  <cols>
    <col min="1" max="1" width="38" customWidth="1"/>
    <col min="2" max="2" width="24" customWidth="1"/>
    <col min="3" max="3" width="33" customWidth="1"/>
    <col min="4" max="4" width="20" customWidth="1"/>
    <col min="5" max="5" width="29" customWidth="1"/>
    <col min="6" max="6" width="20" customWidth="1"/>
    <col min="7" max="7" width="31" customWidth="1"/>
  </cols>
  <sheetData>
    <row r="1" ht="22" customHeight="1">
      <c r="A1" s="1" t="inlineStr">
        <is>
          <t xml:space="preserve">Lever the simulator exposes</t>
        </is>
      </c>
      <c r="B1" s="1" t="inlineStr">
        <is>
          <t xml:space="preserve">Downside case</t>
        </is>
      </c>
      <c r="C1" s="3" t="inlineStr">
        <is>
          <t xml:space="preserve">Break-even rev / mo (downside)</t>
        </is>
      </c>
      <c r="D1" s="1" t="inlineStr">
        <is>
          <t xml:space="preserve">Base case</t>
        </is>
      </c>
      <c r="E1" s="3" t="inlineStr">
        <is>
          <t xml:space="preserve">Break-even rev / mo (base)</t>
        </is>
      </c>
      <c r="F1" s="1" t="inlineStr">
        <is>
          <t xml:space="preserve">Upside case</t>
        </is>
      </c>
      <c r="G1" s="3" t="inlineStr">
        <is>
          <t xml:space="preserve">Break-even rev / mo (upside)</t>
        </is>
      </c>
    </row>
    <row r="2">
      <c r="A2" s="2" t="inlineStr">
        <is>
          <t xml:space="preserve">RENT ($/SF base + NNN, all-in)</t>
        </is>
      </c>
      <c r="B2" s="2" t="inlineStr">
        <is>
          <t xml:space="preserve">Southlake $47</t>
        </is>
      </c>
      <c r="C2" s="7">
        <f>((47*'Assumptions &amp; Levers'!B3/12)+'Break-even &amp; Cash'!B4+'Break-even &amp; Cash'!B5+'Break-even &amp; Cash'!B6+'Break-even &amp; Cash'!B7+'Break-even &amp; Cash'!B8+'Break-even &amp; Cash'!B9)/'Break-even &amp; Cash'!B13</f>
      </c>
      <c r="D2" s="2" t="inlineStr">
        <is>
          <t xml:space="preserve">Keller $38</t>
        </is>
      </c>
      <c r="E2" s="7">
        <f>'Break-even &amp; Cash'!B14</f>
      </c>
      <c r="F2" s="2" t="inlineStr">
        <is>
          <t xml:space="preserve">Trophy Club $34</t>
        </is>
      </c>
      <c r="G2" s="7">
        <f>((34*'Assumptions &amp; Levers'!B3/12)+'Break-even &amp; Cash'!B4+'Break-even &amp; Cash'!B5+'Break-even &amp; Cash'!B6+'Break-even &amp; Cash'!B7+'Break-even &amp; Cash'!B8+'Break-even &amp; Cash'!B9)/'Break-even &amp; Cash'!B13</f>
      </c>
    </row>
    <row r="3">
      <c r="A3" s="5" t="inlineStr">
        <is>
          <t xml:space="preserve">GIFT VOLUME (share to baskets+corp)</t>
        </is>
      </c>
      <c r="B3" s="5" t="inlineStr">
        <is>
          <t xml:space="preserve">Retail-heavy 50% gift</t>
        </is>
      </c>
      <c r="C3" s="8">
        <f>'Break-even &amp; Cash'!B10/('Assumptions &amp; Levers'!B15*0.50+'Assumptions &amp; Levers'!B16*0.45+'Assumptions &amp; Levers'!B17*0.05)</f>
      </c>
      <c r="D3" s="5" t="inlineStr">
        <is>
          <t xml:space="preserve">Base 60% gift</t>
        </is>
      </c>
      <c r="E3" s="8">
        <f>'Break-even &amp; Cash'!B14</f>
      </c>
      <c r="F3" s="5" t="inlineStr">
        <is>
          <t xml:space="preserve">Gift-led 72% gift</t>
        </is>
      </c>
      <c r="G3" s="8">
        <f>'Break-even &amp; Cash'!B10/('Assumptions &amp; Levers'!B15*0.23+'Assumptions &amp; Levers'!B16*0.72+'Assumptions &amp; Levers'!B17*0.05)</f>
      </c>
    </row>
    <row r="4">
      <c r="A4" s="2" t="inlineStr">
        <is>
          <t xml:space="preserve">BLENDED MARGIN</t>
        </is>
      </c>
      <c r="B4" s="2" t="inlineStr">
        <is>
          <t xml:space="preserve">Low 52%</t>
        </is>
      </c>
      <c r="C4" s="7">
        <f>'Break-even &amp; Cash'!B10/0.52</f>
      </c>
      <c r="D4" s="2" t="inlineStr">
        <is>
          <t xml:space="preserve">Base (as modeled)</t>
        </is>
      </c>
      <c r="E4" s="7">
        <f>'Break-even &amp; Cash'!B14</f>
      </c>
      <c r="F4" s="2" t="inlineStr">
        <is>
          <t xml:space="preserve">High 63%</t>
        </is>
      </c>
      <c r="G4" s="7">
        <f>'Break-even &amp; Cash'!B10/0.63</f>
      </c>
    </row>
    <row r="5">
      <c r="A5" s="5" t="inlineStr">
        <is>
          <t xml:space="preserve">OPERATOR SALARY (the success test)</t>
        </is>
      </c>
      <c r="B5" s="5" t="inlineStr">
        <is>
          <t xml:space="preserve">$65k (higher living)</t>
        </is>
      </c>
      <c r="C5" s="8">
        <f>('Break-even &amp; Cash'!B3+65000/12+'Break-even &amp; Cash'!B5+'Break-even &amp; Cash'!B6+'Break-even &amp; Cash'!B7+'Break-even &amp; Cash'!B8+'Break-even &amp; Cash'!B9)/'Break-even &amp; Cash'!B13</f>
      </c>
      <c r="D5" s="5" t="inlineStr">
        <is>
          <t xml:space="preserve">$55k (base)</t>
        </is>
      </c>
      <c r="E5" s="8">
        <f>'Break-even &amp; Cash'!B14</f>
      </c>
      <c r="F5" s="5" t="inlineStr">
        <is>
          <t xml:space="preserve">$45k (lean start)</t>
        </is>
      </c>
      <c r="G5" s="8">
        <f>('Break-even &amp; Cash'!B3+45000/12+'Break-even &amp; Cash'!B5+'Break-even &amp; Cash'!B6+'Break-even &amp; Cash'!B7+'Break-even &amp; Cash'!B8+'Break-even &amp; Cash'!B9)/'Break-even &amp; Cash'!B13</f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Kaldune</Application>
  <Company>Kaldune</Company>
</Properties>
</file>

<file path=docProps/core.xml><?xml version="1.0" encoding="utf-8"?>
<cp:coreProperties xmlns:cp="http://schemas.openxmlformats.org/package/2006/metadata/core-properties" xmlns:dc="http://purl.org/dc/elements/1.1/">
  <dc:title>The Store — Financial Model</dc:title>
  <dc:creator>Marcus Trelane · Financial Modeler</dc:creator>
</cp:coreProperties>
</file>