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t Model" sheetId="1" r:id="rId1"/>
    <sheet name="Summary &amp; Stack" sheetId="2" r:id="rId2"/>
    <sheet name="Assumptions &amp; Levers" sheetId="3" r:id="rId3"/>
  </sheets>
  <calcPr calcId="171027" fullCalcOnLoad="1"/>
</workbook>
</file>

<file path=xl/styles.xml><?xml version="1.0" encoding="utf-8"?>
<styleSheet xmlns="http://schemas.openxmlformats.org/spreadsheetml/2006/main">
  <numFmts count="6">
    <numFmt numFmtId="164" formatCode="$#,##0"/>
    <numFmt numFmtId="165" formatCode="$#,##0.00"/>
    <numFmt numFmtId="166" formatCode="0.0%"/>
    <numFmt numFmtId="167" formatCode="#,##0.00"/>
    <numFmt numFmtId="168" formatCode="#,##0"/>
    <numFmt numFmtId="169" formatCode="yyyy-mm-dd"/>
  </numFmts>
  <fonts count="3">
    <font>
      <sz val="11"/>
      <color rgb="FF221F1A"/>
      <name val="Calibri"/>
    </font>
    <font>
      <b/>
      <sz val="11"/>
      <color rgb="FFF3EFE6"/>
      <name val="Georgia"/>
    </font>
    <font>
      <b/>
      <sz val="11"/>
      <color rgb="FF221F1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2A22"/>
        <bgColor indexed="64"/>
      </patternFill>
    </fill>
    <fill>
      <patternFill patternType="solid">
        <fgColor rgb="FFF3EFE6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9A6C2F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4" fontId="0" fillId="0" borderId="0" xfId="0" applyNumberFormat="1"/>
    <xf numFmtId="49" fontId="0" fillId="3" borderId="0" xfId="0" applyNumberFormat="1" applyFill="1"/>
    <xf numFmtId="167" fontId="0" fillId="3" borderId="0" xfId="0" applyNumberFormat="1" applyFill="1"/>
    <xf numFmtId="164" fontId="0" fillId="3" borderId="0" xfId="0" applyNumberFormat="1" applyFill="1"/>
    <xf numFmtId="168" fontId="0" fillId="0" borderId="0" xfId="0" applyNumberFormat="1"/>
    <xf numFmtId="166" fontId="0" fillId="0" borderId="0" xfId="0" applyNumberFormat="1"/>
    <xf numFmtId="166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workbookViewId="0" tabSelected="1">
      <pane ySplit="1" topLeftCell="A2" activePane="bottomLeft" state="frozen"/>
    </sheetView>
  </sheetViews>
  <sheetFormatPr defaultRowHeight="15"/>
  <cols>
    <col min="1" max="1" width="42" customWidth="1"/>
    <col min="2" max="2" width="30" customWidth="1"/>
    <col min="3" max="3" width="10" customWidth="1"/>
    <col min="4" max="4" width="12" customWidth="1"/>
    <col min="5" max="5" width="12" customWidth="1"/>
    <col min="6" max="6" width="12" customWidth="1"/>
    <col min="7" max="7" width="14" customWidth="1"/>
    <col min="8" max="8" width="14" customWidth="1"/>
  </cols>
  <sheetData>
    <row r="1" ht="22" customHeight="1">
      <c r="A1" s="1" t="inlineStr">
        <is>
          <t xml:space="preserve">System / Line</t>
        </is>
      </c>
      <c r="B1" s="1" t="inlineStr">
        <is>
          <t xml:space="preserve">Quantity / Basis</t>
        </is>
      </c>
      <c r="C1" s="2" t="inlineStr">
        <is>
          <t xml:space="preserve">Qty</t>
        </is>
      </c>
      <c r="D1" s="1" t="inlineStr">
        <is>
          <t xml:space="preserve">Unit</t>
        </is>
      </c>
      <c r="E1" s="2" t="inlineStr">
        <is>
          <t xml:space="preserve">Low Unit $</t>
        </is>
      </c>
      <c r="F1" s="2" t="inlineStr">
        <is>
          <t xml:space="preserve">High Unit $</t>
        </is>
      </c>
      <c r="G1" s="2" t="inlineStr">
        <is>
          <t xml:space="preserve">Low Total</t>
        </is>
      </c>
      <c r="H1" s="2" t="inlineStr">
        <is>
          <t xml:space="preserve">High Total</t>
        </is>
      </c>
    </row>
    <row r="2">
      <c r="A2" s="3" t="inlineStr">
        <is>
          <t xml:space="preserve">1. Site work, clearing &amp; hillside grading</t>
        </is>
      </c>
      <c r="B2" s="3" t="inlineStr">
        <is>
          <t xml:space="preserve">Lump-sum allowance, 1.3 ac sloped lot</t>
        </is>
      </c>
      <c r="C2" s="4">
        <v>1</v>
      </c>
      <c r="D2" s="3" t="inlineStr">
        <is>
          <t xml:space="preserve">allow</t>
        </is>
      </c>
      <c r="E2" s="5">
        <f>60000</f>
      </c>
      <c r="F2" s="5">
        <f>120000</f>
      </c>
      <c r="G2" s="5">
        <f>C2*E2</f>
      </c>
      <c r="H2" s="5">
        <f>C2*F2</f>
      </c>
    </row>
    <row r="3">
      <c r="A3" s="6" t="inlineStr">
        <is>
          <t xml:space="preserve">2. Excavation &amp; hillside cut (incl. garage cut)</t>
        </is>
      </c>
      <c r="B3" s="6" t="inlineStr">
        <is>
          <t xml:space="preserve">Mass excavation + garage box cut into hill</t>
        </is>
      </c>
      <c r="C3" s="7">
        <v>1</v>
      </c>
      <c r="D3" s="6" t="inlineStr">
        <is>
          <t xml:space="preserve">allow</t>
        </is>
      </c>
      <c r="E3" s="8">
        <f>45000</f>
      </c>
      <c r="F3" s="8">
        <f>95000</f>
      </c>
      <c r="G3" s="8">
        <f>C3*E3</f>
      </c>
      <c r="H3" s="8">
        <f>C3*F3</f>
      </c>
    </row>
    <row r="4">
      <c r="A4" s="3" t="inlineStr">
        <is>
          <t xml:space="preserve">3. Retaining walls (limestone-faced, engineered)</t>
        </is>
      </c>
      <c r="B4" s="3" t="inlineStr">
        <is>
          <t xml:space="preserve">~900-1,400 sf wall face @ $40-100/sf</t>
        </is>
      </c>
      <c r="C4" s="4">
        <v>1</v>
      </c>
      <c r="D4" s="3" t="inlineStr">
        <is>
          <t xml:space="preserve">allow</t>
        </is>
      </c>
      <c r="E4" s="5">
        <f>50000</f>
      </c>
      <c r="F4" s="5">
        <f>115000</f>
      </c>
      <c r="G4" s="5">
        <f>C4*E4</f>
      </c>
      <c r="H4" s="5">
        <f>C4*F4</f>
      </c>
    </row>
    <row r="5">
      <c r="A5" s="6" t="inlineStr">
        <is>
          <t xml:space="preserve">4. Foundation (engineered, stepped pier/grade-beam)</t>
        </is>
      </c>
      <c r="B5" s="6" t="inlineStr">
        <is>
          <t xml:space="preserve">3,771 cond. SF, hillside + clay</t>
        </is>
      </c>
      <c r="C5" s="7">
        <v>3771</v>
      </c>
      <c r="D5" s="6" t="inlineStr">
        <is>
          <t xml:space="preserve">cond. SF</t>
        </is>
      </c>
      <c r="E5" s="8">
        <f>30</f>
      </c>
      <c r="F5" s="8">
        <f>48</f>
      </c>
      <c r="G5" s="8">
        <f>C5*E5</f>
      </c>
      <c r="H5" s="8">
        <f>C5*F5</f>
      </c>
    </row>
    <row r="6">
      <c r="A6" s="3" t="inlineStr">
        <is>
          <t xml:space="preserve">5. Structure &amp; framing (incl. steel spans, blk stair)</t>
        </is>
      </c>
      <c r="B6" s="3" t="inlineStr">
        <is>
          <t xml:space="preserve">3,771 cond. SF, long spans / 20' great room</t>
        </is>
      </c>
      <c r="C6" s="4">
        <v>3771</v>
      </c>
      <c r="D6" s="3" t="inlineStr">
        <is>
          <t xml:space="preserve">cond. SF</t>
        </is>
      </c>
      <c r="E6" s="5">
        <f>52</f>
      </c>
      <c r="F6" s="5">
        <f>78</f>
      </c>
      <c r="G6" s="5">
        <f>C6*E6</f>
      </c>
      <c r="H6" s="5">
        <f>C6*F6</f>
      </c>
    </row>
    <row r="7">
      <c r="A7" s="6" t="inlineStr">
        <is>
          <t xml:space="preserve">6a. Large-format west glazing + sliding pocket wall</t>
        </is>
      </c>
      <c r="B7" s="6" t="inlineStr">
        <is>
          <t xml:space="preserve">~700-950 sf glass wall @ $200-350/sf</t>
        </is>
      </c>
      <c r="C7" s="7">
        <v>1</v>
      </c>
      <c r="D7" s="6" t="inlineStr">
        <is>
          <t xml:space="preserve">allow</t>
        </is>
      </c>
      <c r="E7" s="8">
        <f>150000</f>
      </c>
      <c r="F7" s="8">
        <f>265000</f>
      </c>
      <c r="G7" s="8">
        <f>C7*E7</f>
      </c>
      <c r="H7" s="8">
        <f>C7*F7</f>
      </c>
    </row>
    <row r="8">
      <c r="A8" s="3" t="inlineStr">
        <is>
          <t xml:space="preserve">6b. Architectural concrete (board-formed &amp; smooth)</t>
        </is>
      </c>
      <c r="B8" s="3" t="inlineStr">
        <is>
          <t xml:space="preserve">Exposed walls, base, hearth; specialty formwork</t>
        </is>
      </c>
      <c r="C8" s="4">
        <v>1</v>
      </c>
      <c r="D8" s="3" t="inlineStr">
        <is>
          <t xml:space="preserve">allow</t>
        </is>
      </c>
      <c r="E8" s="5">
        <f>55000</f>
      </c>
      <c r="F8" s="5">
        <f>115000</f>
      </c>
      <c r="G8" s="5">
        <f>C8*E8</f>
      </c>
      <c r="H8" s="5">
        <f>C8*F8</f>
      </c>
    </row>
    <row r="9">
      <c r="A9" s="6" t="inlineStr">
        <is>
          <t xml:space="preserve">6c. Texas limestone veneer + oak/metal cladding</t>
        </is>
      </c>
      <c r="B9" s="6" t="inlineStr">
        <is>
          <t xml:space="preserve">Entry wall, chimney, soffits, panel</t>
        </is>
      </c>
      <c r="C9" s="7">
        <v>1</v>
      </c>
      <c r="D9" s="6" t="inlineStr">
        <is>
          <t xml:space="preserve">allow</t>
        </is>
      </c>
      <c r="E9" s="8">
        <f>65000</f>
      </c>
      <c r="F9" s="8">
        <f>130000</f>
      </c>
      <c r="G9" s="8">
        <f>C9*E9</f>
      </c>
      <c r="H9" s="8">
        <f>C9*F9</f>
      </c>
    </row>
    <row r="10">
      <c r="A10" s="3" t="inlineStr">
        <is>
          <t xml:space="preserve">6d. Metal roof (standing seam) + terrace membrane</t>
        </is>
      </c>
      <c r="B10" s="3" t="inlineStr">
        <is>
          <t xml:space="preserve">~3,000-3,600 sf @ $18-30/sf installed</t>
        </is>
      </c>
      <c r="C10" s="4">
        <v>1</v>
      </c>
      <c r="D10" s="3" t="inlineStr">
        <is>
          <t xml:space="preserve">allow</t>
        </is>
      </c>
      <c r="E10" s="5">
        <f>55000</f>
      </c>
      <c r="F10" s="5">
        <f>100000</f>
      </c>
      <c r="G10" s="5">
        <f>C10*E10</f>
      </c>
      <c r="H10" s="5">
        <f>C10*F10</f>
      </c>
    </row>
    <row r="11">
      <c r="A11" s="6" t="inlineStr">
        <is>
          <t xml:space="preserve">7. Interior finishes (oak floors/ceilings, plaster, trim, stair)</t>
        </is>
      </c>
      <c r="B11" s="6" t="inlineStr">
        <is>
          <t xml:space="preserve">3,771 cond. SF, quiet-luxury finish</t>
        </is>
      </c>
      <c r="C11" s="7">
        <v>3771</v>
      </c>
      <c r="D11" s="6" t="inlineStr">
        <is>
          <t xml:space="preserve">cond. SF</t>
        </is>
      </c>
      <c r="E11" s="8">
        <f>68</f>
      </c>
      <c r="F11" s="8">
        <f>98</f>
      </c>
      <c r="G11" s="8">
        <f>C11*E11</f>
      </c>
      <c r="H11" s="8">
        <f>C11*F11</f>
      </c>
    </row>
    <row r="12">
      <c r="A12" s="3" t="inlineStr">
        <is>
          <t xml:space="preserve">8. Kitchen (cabinetry, stone, appliances, install)</t>
        </is>
      </c>
      <c r="B12" s="3" t="inlineStr">
        <is>
          <t xml:space="preserve">~306 sf + pantry, luxury package</t>
        </is>
      </c>
      <c r="C12" s="4">
        <v>1</v>
      </c>
      <c r="D12" s="3" t="inlineStr">
        <is>
          <t xml:space="preserve">allow</t>
        </is>
      </c>
      <c r="E12" s="5">
        <f>80000</f>
      </c>
      <c r="F12" s="5">
        <f>160000</f>
      </c>
      <c r="G12" s="5">
        <f>C12*E12</f>
      </c>
      <c r="H12" s="5">
        <f>C12*F12</f>
      </c>
    </row>
    <row r="13">
      <c r="A13" s="6" t="inlineStr">
        <is>
          <t xml:space="preserve">9. Baths (3 full + powder)</t>
        </is>
      </c>
      <c r="B13" s="6" t="inlineStr">
        <is>
          <t xml:space="preserve">Master + jack-and-jill + hall + powder</t>
        </is>
      </c>
      <c r="C13" s="7">
        <v>1</v>
      </c>
      <c r="D13" s="6" t="inlineStr">
        <is>
          <t xml:space="preserve">allow</t>
        </is>
      </c>
      <c r="E13" s="8">
        <f>68000</f>
      </c>
      <c r="F13" s="8">
        <f>135000</f>
      </c>
      <c r="G13" s="8">
        <f>C13*E13</f>
      </c>
      <c r="H13" s="8">
        <f>C13*F13</f>
      </c>
    </row>
    <row r="14">
      <c r="A14" s="3" t="inlineStr">
        <is>
          <t xml:space="preserve">10. MEP (HVAC multi-zone, electrical, plumbing)</t>
        </is>
      </c>
      <c r="B14" s="3" t="inlineStr">
        <is>
          <t xml:space="preserve">3,771 cond. SF, premium systems</t>
        </is>
      </c>
      <c r="C14" s="4">
        <v>3771</v>
      </c>
      <c r="D14" s="3" t="inlineStr">
        <is>
          <t xml:space="preserve">cond. SF</t>
        </is>
      </c>
      <c r="E14" s="5">
        <f>52</f>
      </c>
      <c r="F14" s="5">
        <f>82</f>
      </c>
      <c r="G14" s="5">
        <f>C14*E14</f>
      </c>
      <c r="H14" s="5">
        <f>C14*F14</f>
      </c>
    </row>
    <row r="15">
      <c r="A15" s="6" t="inlineStr">
        <is>
          <t xml:space="preserve">11. Covered terrace, balconies &amp; outdoor</t>
        </is>
      </c>
      <c r="B15" s="6" t="inlineStr">
        <is>
          <t xml:space="preserve">~838 sf covered exterior, roof + rails + finish</t>
        </is>
      </c>
      <c r="C15" s="7">
        <v>1</v>
      </c>
      <c r="D15" s="6" t="inlineStr">
        <is>
          <t xml:space="preserve">allow</t>
        </is>
      </c>
      <c r="E15" s="8">
        <f>60000</f>
      </c>
      <c r="F15" s="8">
        <f>125000</f>
      </c>
      <c r="G15" s="8">
        <f>C15*E15</f>
      </c>
      <c r="H15" s="8">
        <f>C15*F15</f>
      </c>
    </row>
    <row r="16">
      <c r="A16" s="3" t="inlineStr">
        <is>
          <t xml:space="preserve">12. Garage fit-out (beyond cut/foundation)</t>
        </is>
      </c>
      <c r="B16" s="3" t="inlineStr">
        <is>
          <t xml:space="preserve">484 sf, doors, finishes, MEP</t>
        </is>
      </c>
      <c r="C16" s="4">
        <v>1</v>
      </c>
      <c r="D16" s="3" t="inlineStr">
        <is>
          <t xml:space="preserve">allow</t>
        </is>
      </c>
      <c r="E16" s="5">
        <f>22000</f>
      </c>
      <c r="F16" s="5">
        <f>42000</f>
      </c>
      <c r="G16" s="5">
        <f>C16*E16</f>
      </c>
      <c r="H16" s="5">
        <f>C16*F16</f>
      </c>
    </row>
    <row r="17">
      <c r="A17" s="6" t="inlineStr">
        <is>
          <t xml:space="preserve">HARD COST SUBTOTAL</t>
        </is>
      </c>
      <c r="B17" s="6" t="inlineStr">
        <is>
          <t xml:space="preserve">Sum of lines 1-12</t>
        </is>
      </c>
      <c r="C17" s="7"/>
      <c r="D17" s="6" t="inlineStr">
        <is>
          <t xml:space="preserve"/>
        </is>
      </c>
      <c r="E17" s="8"/>
      <c r="F17" s="8"/>
      <c r="G17" s="8">
        <f>SUM(G2:G16)</f>
      </c>
      <c r="H17" s="8">
        <f>SUM(H2:H16)</f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pane ySplit="1" topLeftCell="A2" activePane="bottomLeft" state="frozen"/>
    </sheetView>
  </sheetViews>
  <sheetFormatPr defaultRowHeight="15"/>
  <cols>
    <col min="1" max="1" width="44" customWidth="1"/>
    <col min="2" max="2" width="26" customWidth="1"/>
    <col min="3" max="3" width="15" customWidth="1"/>
    <col min="4" max="4" width="15" customWidth="1"/>
  </cols>
  <sheetData>
    <row r="1" ht="22" customHeight="1">
      <c r="A1" s="1" t="inlineStr">
        <is>
          <t xml:space="preserve">Component</t>
        </is>
      </c>
      <c r="B1" s="1" t="inlineStr">
        <is>
          <t xml:space="preserve">Rate / Basis</t>
        </is>
      </c>
      <c r="C1" s="2" t="inlineStr">
        <is>
          <t xml:space="preserve">Low</t>
        </is>
      </c>
      <c r="D1" s="2" t="inlineStr">
        <is>
          <t xml:space="preserve">High</t>
        </is>
      </c>
    </row>
    <row r="2">
      <c r="A2" s="3" t="inlineStr">
        <is>
          <t xml:space="preserve">Hard construction cost (from Cost Model)</t>
        </is>
      </c>
      <c r="B2" s="3" t="inlineStr">
        <is>
          <t xml:space="preserve">Sum of systems 1-12</t>
        </is>
      </c>
      <c r="C2" s="5">
        <f>'Cost Model'!G17</f>
      </c>
      <c r="D2" s="5">
        <f>'Cost Model'!H17</f>
      </c>
    </row>
    <row r="3">
      <c r="A3" s="6" t="inlineStr">
        <is>
          <t xml:space="preserve">Design &amp; engineering allowance</t>
        </is>
      </c>
      <c r="B3" s="6" t="inlineStr">
        <is>
          <t xml:space="preserve">10% of hard cost</t>
        </is>
      </c>
      <c r="C3" s="8">
        <f>C2*'Assumptions &amp; Levers'!B2</f>
      </c>
      <c r="D3" s="8">
        <f>D2*'Assumptions &amp; Levers'!B2</f>
      </c>
    </row>
    <row r="4">
      <c r="A4" s="3" t="inlineStr">
        <is>
          <t xml:space="preserve">Permits, fees, geotech &amp; testing</t>
        </is>
      </c>
      <c r="B4" s="3" t="inlineStr">
        <is>
          <t xml:space="preserve">Allowance (Wise County)</t>
        </is>
      </c>
      <c r="C4" s="5">
        <f>25000</f>
      </c>
      <c r="D4" s="5">
        <f>45000</f>
      </c>
    </row>
    <row r="5">
      <c r="A5" s="6" t="inlineStr">
        <is>
          <t xml:space="preserve">General conditions (supervision, temp, insurance)</t>
        </is>
      </c>
      <c r="B5" s="6" t="inlineStr">
        <is>
          <t xml:space="preserve">7% of hard cost</t>
        </is>
      </c>
      <c r="C5" s="8">
        <f>C2*'Assumptions &amp; Levers'!B3</f>
      </c>
      <c r="D5" s="8">
        <f>D2*'Assumptions &amp; Levers'!B3</f>
      </c>
    </row>
    <row r="6">
      <c r="A6" s="3" t="inlineStr">
        <is>
          <t xml:space="preserve">Subtotal before builder margin</t>
        </is>
      </c>
      <c r="B6" s="3" t="inlineStr">
        <is>
          <t xml:space="preserve">Hard + design + permits + GC</t>
        </is>
      </c>
      <c r="C6" s="5">
        <f>C2+C3+C4+C5</f>
      </c>
      <c r="D6" s="5">
        <f>D2+D3+D4+D5</f>
      </c>
    </row>
    <row r="7">
      <c r="A7" s="6" t="inlineStr">
        <is>
          <t xml:space="preserve">Builder overhead &amp; profit</t>
        </is>
      </c>
      <c r="B7" s="6" t="inlineStr">
        <is>
          <t xml:space="preserve">16% of subtotal above</t>
        </is>
      </c>
      <c r="C7" s="8">
        <f>C6*'Assumptions &amp; Levers'!B4</f>
      </c>
      <c r="D7" s="8">
        <f>D6*'Assumptions &amp; Levers'!B4</f>
      </c>
    </row>
    <row r="8">
      <c r="A8" s="3" t="inlineStr">
        <is>
          <t xml:space="preserve">Construction cost before contingency</t>
        </is>
      </c>
      <c r="B8" s="3" t="inlineStr">
        <is>
          <t xml:space="preserve">Subtotal + OH&amp;P</t>
        </is>
      </c>
      <c r="C8" s="5">
        <f>C6+C7</f>
      </c>
      <c r="D8" s="5">
        <f>D6+D7</f>
      </c>
    </row>
    <row r="9">
      <c r="A9" s="6" t="inlineStr">
        <is>
          <t xml:space="preserve">Concept-stage contingency</t>
        </is>
      </c>
      <c r="B9" s="6" t="inlineStr">
        <is>
          <t xml:space="preserve">12% of cost before contingency</t>
        </is>
      </c>
      <c r="C9" s="8">
        <f>C8*'Assumptions &amp; Levers'!B5</f>
      </c>
      <c r="D9" s="8">
        <f>D8*'Assumptions &amp; Levers'!B5</f>
      </c>
    </row>
    <row r="10">
      <c r="A10" s="3" t="inlineStr">
        <is>
          <t xml:space="preserve">TOTAL PROJECT ESTIMATE (excl. land)</t>
        </is>
      </c>
      <c r="B10" s="3" t="inlineStr">
        <is>
          <t xml:space="preserve">All-in construction range</t>
        </is>
      </c>
      <c r="C10" s="5">
        <f>C8+C9</f>
      </c>
      <c r="D10" s="5">
        <f>D8+D9</f>
      </c>
    </row>
    <row r="11">
      <c r="A11" s="6" t="inlineStr">
        <is>
          <t xml:space="preserve"/>
        </is>
      </c>
      <c r="B11" s="6" t="inlineStr">
        <is>
          <t xml:space="preserve"/>
        </is>
      </c>
      <c r="C11" s="8"/>
      <c r="D11" s="8"/>
    </row>
    <row r="12">
      <c r="A12" s="3" t="inlineStr">
        <is>
          <t xml:space="preserve">Conditioned area (SF)</t>
        </is>
      </c>
      <c r="B12" s="3" t="inlineStr">
        <is>
          <t xml:space="preserve">Architect tally</t>
        </is>
      </c>
      <c r="C12" s="9">
        <f>3771</f>
      </c>
      <c r="D12" s="9">
        <f>3771</f>
      </c>
    </row>
    <row r="13">
      <c r="A13" s="6" t="inlineStr">
        <is>
          <t xml:space="preserve">Implied all-in cost per SF</t>
        </is>
      </c>
      <c r="B13" s="6" t="inlineStr">
        <is>
          <t xml:space="preserve">Total / conditioned SF</t>
        </is>
      </c>
      <c r="C13" s="8">
        <f>C10/C12</f>
      </c>
      <c r="D13" s="8">
        <f>D10/D12</f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pane ySplit="1" topLeftCell="A2" activePane="bottomLeft" state="frozen"/>
    </sheetView>
  </sheetViews>
  <sheetFormatPr defaultRowHeight="15"/>
  <cols>
    <col min="1" max="1" width="40" customWidth="1"/>
    <col min="2" max="2" width="14" customWidth="1"/>
    <col min="3" max="3" width="52" customWidth="1"/>
  </cols>
  <sheetData>
    <row r="1" ht="22" customHeight="1">
      <c r="A1" s="1" t="inlineStr">
        <is>
          <t xml:space="preserve">Lever (edit these)</t>
        </is>
      </c>
      <c r="B1" s="2" t="inlineStr">
        <is>
          <t xml:space="preserve">Value</t>
        </is>
      </c>
      <c r="C1" s="1" t="inlineStr">
        <is>
          <t xml:space="preserve">Note</t>
        </is>
      </c>
    </row>
    <row r="2">
      <c r="A2" s="3" t="inlineStr">
        <is>
          <t xml:space="preserve">Design &amp; engineering allowance %</t>
        </is>
      </c>
      <c r="B2" s="10">
        <v>0.1</v>
      </c>
      <c r="C2" s="3" t="inlineStr">
        <is>
          <t xml:space="preserve">High-end custom 12-18% of construction (Siana 2026); design drawings already complete, so 10% covers remaining structural/civil/MEP eng + interior design + surveys</t>
        </is>
      </c>
    </row>
    <row r="3">
      <c r="A3" s="6" t="inlineStr">
        <is>
          <t xml:space="preserve">General conditions %</t>
        </is>
      </c>
      <c r="B3" s="11">
        <v>0.07</v>
      </c>
      <c r="C3" s="6" t="inlineStr">
        <is>
          <t xml:space="preserve">Site supervision, temp power, insurance, builder's risk, safety; 6-10% of hard cost</t>
        </is>
      </c>
    </row>
    <row r="4">
      <c r="A4" s="3" t="inlineStr">
        <is>
          <t xml:space="preserve">Builder overhead &amp; profit %</t>
        </is>
      </c>
      <c r="B4" s="10">
        <v>0.16</v>
      </c>
      <c r="C4" s="3" t="inlineStr">
        <is>
          <t xml:space="preserve">Custom-home GC OH&amp;P 15-20% (converged across sources); 16% mid</t>
        </is>
      </c>
    </row>
    <row r="5">
      <c r="A5" s="6" t="inlineStr">
        <is>
          <t xml:space="preserve">Concept-stage contingency %</t>
        </is>
      </c>
      <c r="B5" s="11">
        <v>0.12</v>
      </c>
      <c r="C5" s="6" t="inlineStr">
        <is>
          <t xml:space="preserve">10-15% at concept stage; 12% used on this build; raise toward 15% before specs &amp; bids firm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Kaldune</Application>
  <Company>Kaldune</Company>
</Properties>
</file>

<file path=docProps/core.xml><?xml version="1.0" encoding="utf-8"?>
<cp:coreProperties xmlns:cp="http://schemas.openxmlformats.org/package/2006/metadata/core-properties" xmlns:dc="http://purl.org/dc/elements/1.1/">
  <dc:title>Lake Bridgeport House — Construction Cost Model</dc:title>
  <dc:creator>Preconstruction Estimate</dc:creator>
</cp:coreProperties>
</file>