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puts" sheetId="2" r:id="rId2"/>
    <sheet name="Estimate" sheetId="3" r:id="rId3"/>
    <sheet name="Takeoff" sheetId="4" r:id="rId4"/>
    <sheet name="Rates" sheetId="5" r:id="rId5"/>
    <sheet name="Shells" sheetId="6" r:id="rId6"/>
    <sheet name="Market" sheetId="7" r:id="rId7"/>
    <sheet name="Sources" sheetId="8" r:id="rId8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1F2124"/>
      <name val="Instrument Sans"/>
    </font>
    <font>
      <b/>
      <sz val="11"/>
      <color rgb="FFEEE7DA"/>
      <name val="Instrument Sans"/>
    </font>
    <font>
      <b/>
      <sz val="11"/>
      <color rgb="FF1F2124"/>
      <name val="Instrument Sans"/>
    </font>
  </fonts>
  <fills count="4">
    <fill>
      <patternFill patternType="none"/>
    </fill>
    <fill>
      <patternFill patternType="gray125"/>
    </fill>
    <fill>
      <patternFill patternType="solid">
        <fgColor rgb="FF2E352B"/>
        <bgColor indexed="64"/>
      </patternFill>
    </fill>
    <fill>
      <patternFill patternType="solid">
        <fgColor rgb="FFEEE7DA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3E5C62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49" fontId="0" fillId="0" borderId="0" xfId="0" applyNumberFormat="1"/>
    <xf numFmtId="164" fontId="0" fillId="0" borderId="0" xfId="0" applyNumberFormat="1"/>
    <xf numFmtId="168" fontId="0" fillId="0" borderId="0" xfId="0" applyNumberFormat="1"/>
    <xf numFmtId="166" fontId="0" fillId="0" borderId="0" xfId="0" applyNumberFormat="1"/>
    <xf numFmtId="167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 tabSelected="1">
      <pane ySplit="1" topLeftCell="A2" activePane="bottomLeft" state="frozen"/>
    </sheetView>
  </sheetViews>
  <sheetFormatPr defaultRowHeight="15"/>
  <cols>
    <col min="1" max="1" width="44" customWidth="1"/>
    <col min="2" max="2" width="16" customWidth="1"/>
    <col min="3" max="3" width="16" customWidth="1"/>
    <col min="4" max="4" width="16" customWidth="1"/>
    <col min="5" max="5" width="90" customWidth="1"/>
  </cols>
  <sheetData>
    <row r="1" ht="22" customHeight="1">
      <c r="A1" s="1" t="inlineStr">
        <is>
          <t xml:space="preserve">Quote summary</t>
        </is>
      </c>
      <c r="B1" s="2" t="inlineStr">
        <is>
          <t xml:space="preserve">Low</t>
        </is>
      </c>
      <c r="C1" s="2" t="inlineStr">
        <is>
          <t xml:space="preserve">Likely</t>
        </is>
      </c>
      <c r="D1" s="2" t="inlineStr">
        <is>
          <t xml:space="preserve">High</t>
        </is>
      </c>
      <c r="E1" s="1" t="inlineStr">
        <is>
          <t xml:space="preserve">How to read it</t>
        </is>
      </c>
    </row>
    <row r="2">
      <c r="A2" s="3" t="inlineStr">
        <is>
          <t xml:space="preserve">Job</t>
        </is>
      </c>
      <c r="B2" s="3">
        <f>Inputs!B2</f>
      </c>
      <c r="C2" s="4"/>
      <c r="D2" s="4"/>
      <c r="E2" s="3" t="inlineStr">
        <is>
          <t xml:space="preserve">From Inputs. Fill the Inputs sheet first; this page only reads.</t>
        </is>
      </c>
    </row>
    <row r="3">
      <c r="A3" s="3" t="inlineStr">
        <is>
          <t xml:space="preserve">Shell model</t>
        </is>
      </c>
      <c r="B3" s="3">
        <f>Inputs!B4</f>
      </c>
      <c r="C3" s="4"/>
      <c r="D3" s="4"/>
      <c r="E3" s="3" t="inlineStr">
        <is>
          <t xml:space="preserve">AquaTechnics model as named in the June 2025 AquaTechnics USA brochure.</t>
        </is>
      </c>
    </row>
    <row r="4">
      <c r="A4" s="3" t="inlineStr">
        <is>
          <t xml:space="preserve">External size (as printed by AquaTechnics)</t>
        </is>
      </c>
      <c r="B4" s="3">
        <f>INDEX(Shells!$C$2:$C$35,Takeoff!B2)</f>
      </c>
      <c r="C4" s="4"/>
      <c r="D4" s="4"/>
      <c r="E4" s="3" t="inlineStr">
        <is>
          <t xml:space="preserve">Width x length, outside the 8 in fiberglass coping.</t>
        </is>
      </c>
    </row>
    <row r="5">
      <c r="A5" s="3" t="inlineStr">
        <is>
          <t xml:space="preserve">Size class</t>
        </is>
      </c>
      <c r="B5" s="3">
        <f>Takeoff!C7</f>
      </c>
      <c r="C5" s="4"/>
      <c r="D5" s="4"/>
      <c r="E5" s="3" t="inlineStr">
        <is>
          <t xml:space="preserve">Thursday Pools' Texas classes: Small under 26 ft long, Medium 26 to 34 ft, Large 35 ft and longer.</t>
        </is>
      </c>
    </row>
    <row r="6">
      <c r="A6" s="3" t="inlineStr">
        <is>
          <t xml:space="preserve">Coping and collar run (LF)</t>
        </is>
      </c>
      <c r="B6" s="5">
        <f>Takeoff!B14</f>
      </c>
      <c r="C6" s="5">
        <f>Takeoff!C14</f>
      </c>
      <c r="D6" s="5">
        <f>Takeoff!D14</f>
      </c>
      <c r="E6" s="3" t="inlineStr">
        <is>
          <t xml:space="preserve">Shell perimeter plus spa perimeter, unless you typed an override on Inputs.</t>
        </is>
      </c>
    </row>
    <row r="7">
      <c r="A7" s="3" t="inlineStr">
        <is>
          <t xml:space="preserve">Deck area (sf)</t>
        </is>
      </c>
      <c r="B7" s="5">
        <f>Inputs!B13</f>
      </c>
      <c r="C7" s="5">
        <f>Inputs!B13</f>
      </c>
      <c r="D7" s="5">
        <f>Inputs!B13</f>
      </c>
      <c r="E7" s="3" t="inlineStr">
        <is>
          <t xml:space="preserve">As typed on Inputs.</t>
        </is>
      </c>
    </row>
    <row r="8">
      <c r="A8" s="3" t="inlineStr">
        <is>
          <t xml:space="preserve">Direct cost</t>
        </is>
      </c>
      <c r="B8" s="4">
        <f>Estimate!D30</f>
      </c>
      <c r="C8" s="4">
        <f>Estimate!E30</f>
      </c>
      <c r="D8" s="4">
        <f>Estimate!F30</f>
      </c>
      <c r="E8" s="3" t="inlineStr">
        <is>
          <t xml:space="preserve">Every line on the Estimate sheet, before overhead, contingency and profit.</t>
        </is>
      </c>
    </row>
    <row r="9">
      <c r="A9" s="3" t="inlineStr">
        <is>
          <t xml:space="preserve">Overhead and contingency</t>
        </is>
      </c>
      <c r="B9" s="4">
        <f>Estimate!D31+Estimate!D32</f>
      </c>
      <c r="C9" s="4">
        <f>Estimate!E31+Estimate!E32</f>
      </c>
      <c r="D9" s="4">
        <f>Estimate!F31+Estimate!F32</f>
      </c>
      <c r="E9" s="3" t="inlineStr">
        <is>
          <t xml:space="preserve">Overhead % from Inputs, contingency % from Rates.</t>
        </is>
      </c>
    </row>
    <row r="10">
      <c r="A10" s="3" t="inlineStr">
        <is>
          <t xml:space="preserve">Total cost to Longwater</t>
        </is>
      </c>
      <c r="B10" s="4">
        <f>Estimate!D33</f>
      </c>
      <c r="C10" s="4">
        <f>Estimate!E33</f>
      </c>
      <c r="D10" s="4">
        <f>Estimate!F33</f>
      </c>
      <c r="E10" s="3" t="inlineStr">
        <is>
          <t xml:space="preserve">What the job costs you to build and carry.</t>
        </is>
      </c>
    </row>
    <row r="11">
      <c r="A11" s="3" t="inlineStr">
        <is>
          <t xml:space="preserve">Quote (sell price)</t>
        </is>
      </c>
      <c r="B11" s="4">
        <f>Estimate!D34</f>
      </c>
      <c r="C11" s="4">
        <f>Estimate!E34</f>
      </c>
      <c r="D11" s="4">
        <f>Estimate!F34</f>
      </c>
      <c r="E11" s="3" t="inlineStr">
        <is>
          <t xml:space="preserve">Total cost divided by (1 minus net margin minus commission).</t>
        </is>
      </c>
    </row>
    <row r="12">
      <c r="A12" s="3" t="inlineStr">
        <is>
          <t xml:space="preserve">Quote, rounded up to the next $500</t>
        </is>
      </c>
      <c r="B12" s="4">
        <f>Estimate!D38</f>
      </c>
      <c r="C12" s="4">
        <f>Estimate!E38</f>
      </c>
      <c r="D12" s="4">
        <f>Estimate!F38</f>
      </c>
      <c r="E12" s="3" t="inlineStr">
        <is>
          <t xml:space="preserve">The number to put on the proposal. Quote the Likely column; the High column is your walk-away check.</t>
        </is>
      </c>
    </row>
    <row r="13">
      <c r="A13" s="3" t="inlineStr">
        <is>
          <t xml:space="preserve">Sales commission</t>
        </is>
      </c>
      <c r="B13" s="4">
        <f>Estimate!D35</f>
      </c>
      <c r="C13" s="4">
        <f>Estimate!E35</f>
      </c>
      <c r="D13" s="4">
        <f>Estimate!F35</f>
      </c>
      <c r="E13" s="3" t="inlineStr">
        <is>
          <t xml:space="preserve">Zero unless you set a commission % on Inputs.</t>
        </is>
      </c>
    </row>
    <row r="14">
      <c r="A14" s="3" t="inlineStr">
        <is>
          <t xml:space="preserve">Net profit after commission</t>
        </is>
      </c>
      <c r="B14" s="4">
        <f>Estimate!D36</f>
      </c>
      <c r="C14" s="4">
        <f>Estimate!E36</f>
      </c>
      <c r="D14" s="4">
        <f>Estimate!F36</f>
      </c>
      <c r="E14" s="3" t="inlineStr">
        <is>
          <t xml:space="preserve">Sell price less total cost less commission.</t>
        </is>
      </c>
    </row>
    <row r="15">
      <c r="A15" s="3" t="inlineStr">
        <is>
          <t xml:space="preserve">Net margin on sell price</t>
        </is>
      </c>
      <c r="B15" s="6">
        <f>Estimate!D37</f>
      </c>
      <c r="C15" s="6">
        <f>Estimate!E37</f>
      </c>
      <c r="D15" s="6">
        <f>Estimate!F37</f>
      </c>
      <c r="E15" s="3" t="inlineStr">
        <is>
          <t xml:space="preserve">Should equal your target on Inputs. If it does not, a formula has been typed over.</t>
        </is>
      </c>
    </row>
    <row r="16">
      <c r="A16" s="3" t="inlineStr">
        <is>
          <t xml:space="preserve">Markup on direct cost</t>
        </is>
      </c>
      <c r="B16" s="6">
        <f>B11/B8-1</f>
      </c>
      <c r="C16" s="6">
        <f>C11/C8-1</f>
      </c>
      <c r="D16" s="6">
        <f>D11/D8-1</f>
      </c>
      <c r="E16" s="3" t="inlineStr">
        <is>
          <t xml:space="preserve">How far the quote sits above direct cost. Useful when a buyer compares line items.</t>
        </is>
      </c>
    </row>
    <row r="17">
      <c r="A17" s="3" t="inlineStr">
        <is>
          <t xml:space="preserve">Texas average for this size class (base package)</t>
        </is>
      </c>
      <c r="B17" s="4"/>
      <c r="C17" s="4">
        <f>INDEX(Market!$C$2:$C$4,MATCH(Takeoff!C7,Market!$A$2:$A$4,0))</f>
      </c>
      <c r="D17" s="4"/>
      <c r="E17" s="3" t="inlineStr">
        <is>
          <t xml:space="preserve">Thursday Pools 2026 Texas dealer survey. Base package only: shell, dig, pump and filter, about 3 ft of concrete. Not a like-for-like.</t>
        </is>
      </c>
    </row>
    <row r="18">
      <c r="A18" s="3" t="inlineStr">
        <is>
          <t xml:space="preserve">DFW premium fiberglass band (low to high)</t>
        </is>
      </c>
      <c r="B18" s="4">
        <f>Market!C7</f>
      </c>
      <c r="C18" s="4"/>
      <c r="D18" s="4">
        <f>Market!D7</f>
      </c>
      <c r="E18" s="3" t="inlineStr">
        <is>
          <t xml:space="preserve">DFW Custom Pool 2026 guide: larger shell, extensive hardscaping, automation, $90,000 to $150,000 and up.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D26"/>
  <sheetViews>
    <sheetView workbookViewId="0">
      <pane ySplit="1" topLeftCell="A2" activePane="bottomLeft" state="frozen"/>
    </sheetView>
  </sheetViews>
  <sheetFormatPr defaultRowHeight="15"/>
  <cols>
    <col min="1" max="1" width="42" customWidth="1"/>
    <col min="2" max="2" width="22" customWidth="1"/>
    <col min="3" max="3" width="84" customWidth="1"/>
    <col min="4" max="4" width="70" customWidth="1"/>
  </cols>
  <sheetData>
    <row r="1" ht="22" customHeight="1">
      <c r="A1" s="1" t="inlineStr">
        <is>
          <t xml:space="preserve">Job input (type in column B only)</t>
        </is>
      </c>
      <c r="B1" s="2" t="inlineStr">
        <is>
          <t xml:space="preserve">Value</t>
        </is>
      </c>
      <c r="C1" s="1" t="inlineStr">
        <is>
          <t xml:space="preserve">Choices, exactly as written</t>
        </is>
      </c>
      <c r="D1" s="1" t="inlineStr">
        <is>
          <t xml:space="preserve">What it drives</t>
        </is>
      </c>
    </row>
    <row r="2">
      <c r="A2" s="3" t="inlineStr">
        <is>
          <t xml:space="preserve">Job / client</t>
        </is>
      </c>
      <c r="B2" s="7" t="inlineStr">
        <is>
          <t xml:space="preserve">Sample job, Southlake</t>
        </is>
      </c>
      <c r="C2" s="3" t="inlineStr">
        <is>
          <t xml:space="preserve">Free text</t>
        </is>
      </c>
      <c r="D2" s="3" t="inlineStr">
        <is>
          <t xml:space="preserve">Printed on Summary</t>
        </is>
      </c>
    </row>
    <row r="3">
      <c r="A3" s="3" t="inlineStr">
        <is>
          <t xml:space="preserve">City</t>
        </is>
      </c>
      <c r="B3" s="7" t="inlineStr">
        <is>
          <t xml:space="preserve">Southlake</t>
        </is>
      </c>
      <c r="C3" s="3" t="inlineStr">
        <is>
          <t xml:space="preserve">Free text (DFW only)</t>
        </is>
      </c>
      <c r="D3" s="3" t="inlineStr">
        <is>
          <t xml:space="preserve">Reference only. The permit range on Rates covers DFW cities; check the city's own fee page.</t>
        </is>
      </c>
    </row>
    <row r="4">
      <c r="A4" s="3" t="inlineStr">
        <is>
          <t xml:space="preserve">Shell model</t>
        </is>
      </c>
      <c r="B4" s="7" t="inlineStr">
        <is>
          <t xml:space="preserve">Saint-Grande</t>
        </is>
      </c>
      <c r="C4" s="3" t="inlineStr">
        <is>
          <t xml:space="preserve">Any model in column A of the Shells sheet, spelled exactly</t>
        </is>
      </c>
      <c r="D4" s="3" t="inlineStr">
        <is>
          <t xml:space="preserve">Shell cost, size class, dig volume, stone, coping run, water</t>
        </is>
      </c>
    </row>
    <row r="5">
      <c r="A5" s="3" t="inlineStr">
        <is>
          <t xml:space="preserve">Separate spa shell</t>
        </is>
      </c>
      <c r="B5" s="7" t="inlineStr">
        <is>
          <t xml:space="preserve">None</t>
        </is>
      </c>
      <c r="C5" s="3" t="inlineStr">
        <is>
          <t xml:space="preserve">None / Bastia Spa / Elba Spa</t>
        </is>
      </c>
      <c r="D5" s="3" t="inlineStr">
        <is>
          <t xml:space="preserve">Separate spa line. Saint-Remy, Saint-Louis and Saint-Grande already carry a built-in spa: leave None.</t>
        </is>
      </c>
    </row>
    <row r="6">
      <c r="A6" s="3" t="inlineStr">
        <is>
          <t xml:space="preserve">Aqua Ledge sun ledge</t>
        </is>
      </c>
      <c r="B6" s="7" t="inlineStr">
        <is>
          <t xml:space="preserve">No</t>
        </is>
      </c>
      <c r="C6" s="3" t="inlineStr">
        <is>
          <t xml:space="preserve">Yes / No</t>
        </is>
      </c>
      <c r="D6" s="3" t="inlineStr">
        <is>
          <t xml:space="preserve">Aqua Ledge line</t>
        </is>
      </c>
    </row>
    <row r="7">
      <c r="A7" s="3" t="inlineStr">
        <is>
          <t xml:space="preserve">Soil</t>
        </is>
      </c>
      <c r="B7" s="7" t="inlineStr">
        <is>
          <t xml:space="preserve">Clay</t>
        </is>
      </c>
      <c r="C7" s="3" t="inlineStr">
        <is>
          <t xml:space="preserve">Clay / Engineered clay / Rock</t>
        </is>
      </c>
      <c r="D7" s="3" t="inlineStr">
        <is>
          <t xml:space="preserve">Soil line. Use Engineered clay when the geotech or engineer calls for over-dig, piers or select fill.</t>
        </is>
      </c>
    </row>
    <row r="8">
      <c r="A8" s="3" t="inlineStr">
        <is>
          <t xml:space="preserve">Slope</t>
        </is>
      </c>
      <c r="B8" s="7" t="inlineStr">
        <is>
          <t xml:space="preserve">Level</t>
        </is>
      </c>
      <c r="C8" s="3" t="inlineStr">
        <is>
          <t xml:space="preserve">Level / Moderate / Retaining wall</t>
        </is>
      </c>
      <c r="D8" s="3" t="inlineStr">
        <is>
          <t xml:space="preserve">Slope line</t>
        </is>
      </c>
    </row>
    <row r="9">
      <c r="A9" s="3" t="inlineStr">
        <is>
          <t xml:space="preserve">Access</t>
        </is>
      </c>
      <c r="B9" s="7" t="inlineStr">
        <is>
          <t xml:space="preserve">Open</t>
        </is>
      </c>
      <c r="C9" s="3" t="inlineStr">
        <is>
          <t xml:space="preserve">Open / Restricted / Over-house</t>
        </is>
      </c>
      <c r="D9" s="3" t="inlineStr">
        <is>
          <t xml:space="preserve">Crane size and the access line</t>
        </is>
      </c>
    </row>
    <row r="10">
      <c r="A10" s="3" t="inlineStr">
        <is>
          <t xml:space="preserve">Coping material</t>
        </is>
      </c>
      <c r="B10" s="7" t="inlineStr">
        <is>
          <t xml:space="preserve">Travertine</t>
        </is>
      </c>
      <c r="C10" s="3" t="inlineStr">
        <is>
          <t xml:space="preserve">Travertine / Limestone / Concrete</t>
        </is>
      </c>
      <c r="D10" s="3" t="inlineStr">
        <is>
          <t xml:space="preserve">Coping line</t>
        </is>
      </c>
    </row>
    <row r="11">
      <c r="A11" s="3" t="inlineStr">
        <is>
          <t xml:space="preserve">Coping LF override</t>
        </is>
      </c>
      <c r="B11" s="5">
        <v>0</v>
      </c>
      <c r="C11" s="3" t="inlineStr">
        <is>
          <t xml:space="preserve">Linear feet; 0 = automatic from the shell and spa perimeter</t>
        </is>
      </c>
      <c r="D11" s="3" t="inlineStr">
        <is>
          <t xml:space="preserve">Coping and collar lines</t>
        </is>
      </c>
    </row>
    <row r="12">
      <c r="A12" s="3" t="inlineStr">
        <is>
          <t xml:space="preserve">Deck material</t>
        </is>
      </c>
      <c r="B12" s="7" t="inlineStr">
        <is>
          <t xml:space="preserve">Travertine</t>
        </is>
      </c>
      <c r="C12" s="3" t="inlineStr">
        <is>
          <t xml:space="preserve">Concrete / Concrete pavers / Travertine / Limestone</t>
        </is>
      </c>
      <c r="D12" s="3" t="inlineStr">
        <is>
          <t xml:space="preserve">Decking line</t>
        </is>
      </c>
    </row>
    <row r="13">
      <c r="A13" s="3" t="inlineStr">
        <is>
          <t xml:space="preserve">Deck area</t>
        </is>
      </c>
      <c r="B13" s="5">
        <v>900</v>
      </c>
      <c r="C13" s="3" t="inlineStr">
        <is>
          <t xml:space="preserve">Square feet of new deck, not counting coping</t>
        </is>
      </c>
      <c r="D13" s="3" t="inlineStr">
        <is>
          <t xml:space="preserve">Decking line</t>
        </is>
      </c>
    </row>
    <row r="14">
      <c r="A14" s="3" t="inlineStr">
        <is>
          <t xml:space="preserve">Equipment tier</t>
        </is>
      </c>
      <c r="B14" s="7" t="inlineStr">
        <is>
          <t xml:space="preserve">Upgraded</t>
        </is>
      </c>
      <c r="C14" s="3" t="inlineStr">
        <is>
          <t xml:space="preserve">Standard / Upgraded / Premium</t>
        </is>
      </c>
      <c r="D14" s="3" t="inlineStr">
        <is>
          <t xml:space="preserve">Equipment line (components listed on Rates rows 39 to 41)</t>
        </is>
      </c>
    </row>
    <row r="15">
      <c r="A15" s="3" t="inlineStr">
        <is>
          <t xml:space="preserve">Heater</t>
        </is>
      </c>
      <c r="B15" s="7" t="inlineStr">
        <is>
          <t xml:space="preserve">Gas</t>
        </is>
      </c>
      <c r="C15" s="3" t="inlineStr">
        <is>
          <t xml:space="preserve">None / Gas / Heat pump</t>
        </is>
      </c>
      <c r="D15" s="3" t="inlineStr">
        <is>
          <t xml:space="preserve">Heater line</t>
        </is>
      </c>
    </row>
    <row r="16">
      <c r="A16" s="3" t="inlineStr">
        <is>
          <t xml:space="preserve">Gas line run needed</t>
        </is>
      </c>
      <c r="B16" s="7" t="inlineStr">
        <is>
          <t xml:space="preserve">Yes</t>
        </is>
      </c>
      <c r="C16" s="3" t="inlineStr">
        <is>
          <t xml:space="preserve">Yes / No</t>
        </is>
      </c>
      <c r="D16" s="3" t="inlineStr">
        <is>
          <t xml:space="preserve">Adds the gas line extension to the heater line</t>
        </is>
      </c>
    </row>
    <row r="17">
      <c r="A17" s="3" t="inlineStr">
        <is>
          <t xml:space="preserve">LED pool lights</t>
        </is>
      </c>
      <c r="B17" s="5">
        <v>2</v>
      </c>
      <c r="C17" s="3" t="inlineStr">
        <is>
          <t xml:space="preserve">Count</t>
        </is>
      </c>
      <c r="D17" s="3" t="inlineStr">
        <is>
          <t xml:space="preserve">Lighting line</t>
        </is>
      </c>
    </row>
    <row r="18">
      <c r="A18" s="3" t="inlineStr">
        <is>
          <t xml:space="preserve">Electrical panel upgrade</t>
        </is>
      </c>
      <c r="B18" s="7" t="inlineStr">
        <is>
          <t xml:space="preserve">No</t>
        </is>
      </c>
      <c r="C18" s="3" t="inlineStr">
        <is>
          <t xml:space="preserve">Yes / No</t>
        </is>
      </c>
      <c r="D18" s="3" t="inlineStr">
        <is>
          <t xml:space="preserve">Adds the panel line to electrical</t>
        </is>
      </c>
    </row>
    <row r="19">
      <c r="A19" s="3" t="inlineStr">
        <is>
          <t xml:space="preserve">Safety fence</t>
        </is>
      </c>
      <c r="B19" s="5">
        <v>0</v>
      </c>
      <c r="C19" s="3" t="inlineStr">
        <is>
          <t xml:space="preserve">Linear feet; 0 when the yard already has a compliant barrier</t>
        </is>
      </c>
      <c r="D19" s="3" t="inlineStr">
        <is>
          <t xml:space="preserve">Fence line</t>
        </is>
      </c>
    </row>
    <row r="20">
      <c r="A20" s="3" t="inlineStr">
        <is>
          <t xml:space="preserve">Fence type</t>
        </is>
      </c>
      <c r="B20" s="7" t="inlineStr">
        <is>
          <t xml:space="preserve">Aluminum</t>
        </is>
      </c>
      <c r="C20" s="3" t="inlineStr">
        <is>
          <t xml:space="preserve">Aluminum / Wrought iron</t>
        </is>
      </c>
      <c r="D20" s="3" t="inlineStr">
        <is>
          <t xml:space="preserve">Fence line</t>
        </is>
      </c>
    </row>
    <row r="21">
      <c r="A21" s="3" t="inlineStr">
        <is>
          <t xml:space="preserve">Automatic cover</t>
        </is>
      </c>
      <c r="B21" s="7" t="inlineStr">
        <is>
          <t xml:space="preserve">No</t>
        </is>
      </c>
      <c r="C21" s="3" t="inlineStr">
        <is>
          <t xml:space="preserve">Yes / No</t>
        </is>
      </c>
      <c r="D21" s="3" t="inlineStr">
        <is>
          <t xml:space="preserve">Cover line</t>
        </is>
      </c>
    </row>
    <row r="22">
      <c r="A22" s="3" t="inlineStr">
        <is>
          <t xml:space="preserve">Landscape and yard restoration allowance</t>
        </is>
      </c>
      <c r="B22" s="4">
        <v>5000</v>
      </c>
      <c r="C22" s="3" t="inlineStr">
        <is>
          <t xml:space="preserve">Dollars, your allowance</t>
        </is>
      </c>
      <c r="D22" s="3" t="inlineStr">
        <is>
          <t xml:space="preserve">Allowance line (same in all three columns)</t>
        </is>
      </c>
    </row>
    <row r="23">
      <c r="A23" s="3" t="inlineStr">
        <is>
          <t xml:space="preserve">Other allowance</t>
        </is>
      </c>
      <c r="B23" s="4">
        <v>0</v>
      </c>
      <c r="C23" s="3" t="inlineStr">
        <is>
          <t xml:space="preserve">Dollars: shade structure, outdoor kitchen, lighting design, anything outside the pool</t>
        </is>
      </c>
      <c r="D23" s="3" t="inlineStr">
        <is>
          <t xml:space="preserve">Allowance line (same in all three columns)</t>
        </is>
      </c>
    </row>
    <row r="24">
      <c r="A24" s="3" t="inlineStr">
        <is>
          <t xml:space="preserve">Overhead</t>
        </is>
      </c>
      <c r="B24" s="6">
        <v>0.1</v>
      </c>
      <c r="C24" s="3" t="inlineStr">
        <is>
          <t xml:space="preserve">Percent of direct cost: your annual overhead divided by annual direct job cost</t>
        </is>
      </c>
      <c r="D24" s="3" t="inlineStr">
        <is>
          <t xml:space="preserve">Overhead line</t>
        </is>
      </c>
    </row>
    <row r="25">
      <c r="A25" s="3" t="inlineStr">
        <is>
          <t xml:space="preserve">Target net profit margin</t>
        </is>
      </c>
      <c r="B25" s="6">
        <v>0.15</v>
      </c>
      <c r="C25" s="3" t="inlineStr">
        <is>
          <t xml:space="preserve">Percent of sell price, after overhead</t>
        </is>
      </c>
      <c r="D25" s="3" t="inlineStr">
        <is>
          <t xml:space="preserve">Sell price</t>
        </is>
      </c>
    </row>
    <row r="26">
      <c r="A26" s="3" t="inlineStr">
        <is>
          <t xml:space="preserve">Sales commission</t>
        </is>
      </c>
      <c r="B26" s="6">
        <v>0</v>
      </c>
      <c r="C26" s="3" t="inlineStr">
        <is>
          <t xml:space="preserve">Percent of sell price</t>
        </is>
      </c>
      <c r="D26" s="3" t="inlineStr">
        <is>
          <t xml:space="preserve">Sell price and commission line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xSplit="2" ySplit="1" topLeftCell="C2" activePane="bottomRight" state="frozen"/>
    </sheetView>
  </sheetViews>
  <sheetFormatPr defaultRowHeight="15"/>
  <cols>
    <col min="1" max="1" width="6" customWidth="1"/>
    <col min="2" max="2" width="36" customWidth="1"/>
    <col min="3" max="3" width="92" customWidth="1"/>
    <col min="4" max="4" width="14" customWidth="1"/>
    <col min="5" max="5" width="14" customWidth="1"/>
    <col min="6" max="6" width="14" customWidth="1"/>
    <col min="7" max="7" width="20" customWidth="1"/>
    <col min="8" max="8" width="12" customWidth="1"/>
  </cols>
  <sheetData>
    <row r="1" ht="22" customHeight="1">
      <c r="A1" s="2" t="inlineStr">
        <is>
          <t xml:space="preserve">No.</t>
        </is>
      </c>
      <c r="B1" s="1" t="inlineStr">
        <is>
          <t xml:space="preserve">Line</t>
        </is>
      </c>
      <c r="C1" s="1" t="inlineStr">
        <is>
          <t xml:space="preserve">What is in it</t>
        </is>
      </c>
      <c r="D1" s="2" t="inlineStr">
        <is>
          <t xml:space="preserve">Cost low</t>
        </is>
      </c>
      <c r="E1" s="2" t="inlineStr">
        <is>
          <t xml:space="preserve">Cost likely</t>
        </is>
      </c>
      <c r="F1" s="2" t="inlineStr">
        <is>
          <t xml:space="preserve">Cost high</t>
        </is>
      </c>
      <c r="G1" s="2" t="inlineStr">
        <is>
          <t xml:space="preserve">Likely sell, allocated</t>
        </is>
      </c>
      <c r="H1" s="1" t="inlineStr">
        <is>
          <t xml:space="preserve">Basis</t>
        </is>
      </c>
    </row>
    <row r="2">
      <c r="A2" s="5">
        <v>1</v>
      </c>
      <c r="B2" s="3" t="inlineStr">
        <is>
          <t xml:space="preserve">AquaTechnics shell</t>
        </is>
      </c>
      <c r="C2" s="3" t="inlineStr">
        <is>
          <t xml:space="preserve">Shell at wholesale, by size class (Shells sheet). Type your dealer price over the class figure.</t>
        </is>
      </c>
      <c r="D2" s="4">
        <f>INDEX(Shells!$L$2:$L$35,Takeoff!B$2)</f>
      </c>
      <c r="E2" s="4">
        <f>INDEX(Shells!$M$2:$M$35,Takeoff!C$2)</f>
      </c>
      <c r="F2" s="4">
        <f>INDEX(Shells!$N$2:$N$35,Takeoff!D$2)</f>
      </c>
      <c r="G2" s="4">
        <f>E2*(1+Inputs!$B$24+Rates!$E$70)/(1-Inputs!$B$25-Inputs!$B$26)</f>
      </c>
      <c r="H2" s="3" t="inlineStr">
        <is>
          <t xml:space="preserve">ASSUMED</t>
        </is>
      </c>
    </row>
    <row r="3">
      <c r="A3" s="5">
        <v>2</v>
      </c>
      <c r="B3" s="3" t="inlineStr">
        <is>
          <t xml:space="preserve">Freight to site</t>
        </is>
      </c>
      <c r="C3" s="3" t="inlineStr">
        <is>
          <t xml:space="preserve">Truck delivery of the shell to the DFW site</t>
        </is>
      </c>
      <c r="D3" s="4">
        <f>Rates!D5</f>
      </c>
      <c r="E3" s="4">
        <f>Rates!E5</f>
      </c>
      <c r="F3" s="4">
        <f>Rates!F5</f>
      </c>
      <c r="G3" s="4">
        <f>E3*(1+Inputs!$B$24+Rates!$E$70)/(1-Inputs!$B$25-Inputs!$B$26)</f>
      </c>
      <c r="H3" s="3" t="inlineStr">
        <is>
          <t xml:space="preserve">MIXED</t>
        </is>
      </c>
    </row>
    <row r="4">
      <c r="A4" s="5">
        <v>3</v>
      </c>
      <c r="B4" s="3" t="inlineStr">
        <is>
          <t xml:space="preserve">Crane set</t>
        </is>
      </c>
      <c r="C4" s="3" t="inlineStr">
        <is>
          <t xml:space="preserve">Crane, operator, 4-hour minimum, rigging; size set by Access</t>
        </is>
      </c>
      <c r="D4" s="4">
        <f>INDEX(Rates!D$2:D$70,MATCH("CRANE_"&amp;Inputs!$B$9,Rates!$A$2:$A$70,0))</f>
      </c>
      <c r="E4" s="4">
        <f>INDEX(Rates!E$2:E$70,MATCH("CRANE_"&amp;Inputs!$B$9,Rates!$A$2:$A$70,0))</f>
      </c>
      <c r="F4" s="4">
        <f>INDEX(Rates!F$2:F$70,MATCH("CRANE_"&amp;Inputs!$B$9,Rates!$A$2:$A$70,0))</f>
      </c>
      <c r="G4" s="4">
        <f>E4*(1+Inputs!$B$24+Rates!$E$70)/(1-Inputs!$B$25-Inputs!$B$26)</f>
      </c>
      <c r="H4" s="3" t="inlineStr">
        <is>
          <t xml:space="preserve">VERIFIED</t>
        </is>
      </c>
    </row>
    <row r="5">
      <c r="A5" s="5">
        <v>4</v>
      </c>
      <c r="B5" s="3" t="inlineStr">
        <is>
          <t xml:space="preserve">Excavation</t>
        </is>
      </c>
      <c r="C5" s="3" t="inlineStr">
        <is>
          <t xml:space="preserve">Excavator and operator, dig days by size class</t>
        </is>
      </c>
      <c r="D5" s="4">
        <f>Takeoff!B27*Rates!D9</f>
      </c>
      <c r="E5" s="4">
        <f>Takeoff!C27*Rates!E9</f>
      </c>
      <c r="F5" s="4">
        <f>Takeoff!D27*Rates!F9</f>
      </c>
      <c r="G5" s="4">
        <f>E5*(1+Inputs!$B$24+Rates!$E$70)/(1-Inputs!$B$25-Inputs!$B$26)</f>
      </c>
      <c r="H5" s="3" t="inlineStr">
        <is>
          <t xml:space="preserve">ASSUMED</t>
        </is>
      </c>
    </row>
    <row r="6">
      <c r="A6" s="5">
        <v>5</v>
      </c>
      <c r="B6" s="3" t="inlineStr">
        <is>
          <t xml:space="preserve">Spoil haul-off</t>
        </is>
      </c>
      <c r="C6" s="3" t="inlineStr">
        <is>
          <t xml:space="preserve">Tandem loads (swell applied) plus tipping by the ton</t>
        </is>
      </c>
      <c r="D6" s="4">
        <f>Takeoff!B21*Rates!D17+Takeoff!B22*Rates!D19</f>
      </c>
      <c r="E6" s="4">
        <f>Takeoff!C21*Rates!E17+Takeoff!C22*Rates!E19</f>
      </c>
      <c r="F6" s="4">
        <f>Takeoff!D21*Rates!F17+Takeoff!D22*Rates!F19</f>
      </c>
      <c r="G6" s="4">
        <f>E6*(1+Inputs!$B$24+Rates!$E$70)/(1-Inputs!$B$25-Inputs!$B$26)</f>
      </c>
      <c r="H6" s="3" t="inlineStr">
        <is>
          <t xml:space="preserve">VERIFIED</t>
        </is>
      </c>
    </row>
    <row r="7">
      <c r="A7" s="5">
        <v>6</v>
      </c>
      <c r="B7" s="3" t="inlineStr">
        <is>
          <t xml:space="preserve">Soil condition and geotech</t>
        </is>
      </c>
      <c r="C7" s="3" t="inlineStr">
        <is>
          <t xml:space="preserve">Clay, engineered clay or rock adder, plus the soil report</t>
        </is>
      </c>
      <c r="D7" s="4">
        <f>INDEX(Rates!D$2:D$70,MATCH("SOIL_"&amp;Inputs!$B$7,Rates!$A$2:$A$70,0))+Rates!D28</f>
      </c>
      <c r="E7" s="4">
        <f>INDEX(Rates!E$2:E$70,MATCH("SOIL_"&amp;Inputs!$B$7,Rates!$A$2:$A$70,0))+Rates!E28</f>
      </c>
      <c r="F7" s="4">
        <f>INDEX(Rates!F$2:F$70,MATCH("SOIL_"&amp;Inputs!$B$7,Rates!$A$2:$A$70,0))+Rates!F28</f>
      </c>
      <c r="G7" s="4">
        <f>E7*(1+Inputs!$B$24+Rates!$E$70)/(1-Inputs!$B$25-Inputs!$B$26)</f>
      </c>
      <c r="H7" s="3" t="inlineStr">
        <is>
          <t xml:space="preserve">MIXED</t>
        </is>
      </c>
    </row>
    <row r="8">
      <c r="A8" s="5">
        <v>7</v>
      </c>
      <c r="B8" s="3" t="inlineStr">
        <is>
          <t xml:space="preserve">Slope</t>
        </is>
      </c>
      <c r="C8" s="3" t="inlineStr">
        <is>
          <t xml:space="preserve">Extra grading or a retaining wall</t>
        </is>
      </c>
      <c r="D8" s="4">
        <f>INDEX(Rates!D$2:D$70,MATCH("SLOPE_"&amp;Inputs!$B$8,Rates!$A$2:$A$70,0))</f>
      </c>
      <c r="E8" s="4">
        <f>INDEX(Rates!E$2:E$70,MATCH("SLOPE_"&amp;Inputs!$B$8,Rates!$A$2:$A$70,0))</f>
      </c>
      <c r="F8" s="4">
        <f>INDEX(Rates!F$2:F$70,MATCH("SLOPE_"&amp;Inputs!$B$8,Rates!$A$2:$A$70,0))</f>
      </c>
      <c r="G8" s="4">
        <f>E8*(1+Inputs!$B$24+Rates!$E$70)/(1-Inputs!$B$25-Inputs!$B$26)</f>
      </c>
      <c r="H8" s="3" t="inlineStr">
        <is>
          <t xml:space="preserve">MIXED</t>
        </is>
      </c>
    </row>
    <row r="9">
      <c r="A9" s="5">
        <v>8</v>
      </c>
      <c r="B9" s="3" t="inlineStr">
        <is>
          <t xml:space="preserve">Access difficulty</t>
        </is>
      </c>
      <c r="C9" s="3" t="inlineStr">
        <is>
          <t xml:space="preserve">Narrow gate, small machines, extra handling</t>
        </is>
      </c>
      <c r="D9" s="4">
        <f>INDEX(Rates!D$2:D$70,MATCH("ACCESS_"&amp;Inputs!$B$9,Rates!$A$2:$A$70,0))</f>
      </c>
      <c r="E9" s="4">
        <f>INDEX(Rates!E$2:E$70,MATCH("ACCESS_"&amp;Inputs!$B$9,Rates!$A$2:$A$70,0))</f>
      </c>
      <c r="F9" s="4">
        <f>INDEX(Rates!F$2:F$70,MATCH("ACCESS_"&amp;Inputs!$B$9,Rates!$A$2:$A$70,0))</f>
      </c>
      <c r="G9" s="4">
        <f>E9*(1+Inputs!$B$24+Rates!$E$70)/(1-Inputs!$B$25-Inputs!$B$26)</f>
      </c>
      <c r="H9" s="3" t="inlineStr">
        <is>
          <t xml:space="preserve">MIXED</t>
        </is>
      </c>
    </row>
    <row r="10">
      <c r="A10" s="5">
        <v>9</v>
      </c>
      <c r="B10" s="3" t="inlineStr">
        <is>
          <t xml:space="preserve">Engineered base and backfill stone</t>
        </is>
      </c>
      <c r="C10" s="3" t="inlineStr">
        <is>
          <t xml:space="preserve">#57 clean limestone, base and full backfill, delivered</t>
        </is>
      </c>
      <c r="D10" s="4">
        <f>Takeoff!B25*Rates!D20</f>
      </c>
      <c r="E10" s="4">
        <f>Takeoff!C25*Rates!E20</f>
      </c>
      <c r="F10" s="4">
        <f>Takeoff!D25*Rates!F20</f>
      </c>
      <c r="G10" s="4">
        <f>E10*(1+Inputs!$B$24+Rates!$E$70)/(1-Inputs!$B$25-Inputs!$B$26)</f>
      </c>
      <c r="H10" s="3" t="inlineStr">
        <is>
          <t xml:space="preserve">MIXED</t>
        </is>
      </c>
    </row>
    <row r="11">
      <c r="A11" s="5">
        <v>10</v>
      </c>
      <c r="B11" s="3" t="inlineStr">
        <is>
          <t xml:space="preserve">Set, level, backfill labor</t>
        </is>
      </c>
      <c r="C11" s="3" t="inlineStr">
        <is>
          <t xml:space="preserve">Crew to set, level, water-balance and backfill</t>
        </is>
      </c>
      <c r="D11" s="4">
        <f>INDEX(Rates!D$2:D$70,MATCH("SET_"&amp;Takeoff!$C$7,Rates!$A$2:$A$70,0))</f>
      </c>
      <c r="E11" s="4">
        <f>INDEX(Rates!E$2:E$70,MATCH("SET_"&amp;Takeoff!$C$7,Rates!$A$2:$A$70,0))</f>
      </c>
      <c r="F11" s="4">
        <f>INDEX(Rates!F$2:F$70,MATCH("SET_"&amp;Takeoff!$C$7,Rates!$A$2:$A$70,0))</f>
      </c>
      <c r="G11" s="4">
        <f>E11*(1+Inputs!$B$24+Rates!$E$70)/(1-Inputs!$B$25-Inputs!$B$26)</f>
      </c>
      <c r="H11" s="3" t="inlineStr">
        <is>
          <t xml:space="preserve">ASSUMED</t>
        </is>
      </c>
    </row>
    <row r="12">
      <c r="A12" s="5">
        <v>11</v>
      </c>
      <c r="B12" s="3" t="inlineStr">
        <is>
          <t xml:space="preserve">Plumbing</t>
        </is>
      </c>
      <c r="C12" s="3" t="inlineStr">
        <is>
          <t xml:space="preserve">Pipe, fittings, labor, pressure test; built-in spa plumbing when the model has one</t>
        </is>
      </c>
      <c r="D12" s="4">
        <f>INDEX(Rates!D$2:D$70,MATCH("PLUMB_"&amp;Takeoff!$C$7,Rates!$A$2:$A$70,0))+IF(Takeoff!$C$8="Yes",Rates!D38,0)</f>
      </c>
      <c r="E12" s="4">
        <f>INDEX(Rates!E$2:E$70,MATCH("PLUMB_"&amp;Takeoff!$C$7,Rates!$A$2:$A$70,0))+IF(Takeoff!$C$8="Yes",Rates!E38,0)</f>
      </c>
      <c r="F12" s="4">
        <f>INDEX(Rates!F$2:F$70,MATCH("PLUMB_"&amp;Takeoff!$C$7,Rates!$A$2:$A$70,0))+IF(Takeoff!$C$8="Yes",Rates!F38,0)</f>
      </c>
      <c r="G12" s="4">
        <f>E12*(1+Inputs!$B$24+Rates!$E$70)/(1-Inputs!$B$25-Inputs!$B$26)</f>
      </c>
      <c r="H12" s="3" t="inlineStr">
        <is>
          <t xml:space="preserve">ASSUMED</t>
        </is>
      </c>
    </row>
    <row r="13">
      <c r="A13" s="5">
        <v>12</v>
      </c>
      <c r="B13" s="3" t="inlineStr">
        <is>
          <t xml:space="preserve">Equipment package</t>
        </is>
      </c>
      <c r="C13" s="3" t="inlineStr">
        <is>
          <t xml:space="preserve">Pump, filter, sanitation, automation by tier, plus pad and set labor</t>
        </is>
      </c>
      <c r="D13" s="4">
        <f>INDEX(Rates!D$2:D$70,MATCH("EQUIP_"&amp;Inputs!$B$14,Rates!$A$2:$A$70,0))+Rates!D42</f>
      </c>
      <c r="E13" s="4">
        <f>INDEX(Rates!E$2:E$70,MATCH("EQUIP_"&amp;Inputs!$B$14,Rates!$A$2:$A$70,0))+Rates!E42</f>
      </c>
      <c r="F13" s="4">
        <f>INDEX(Rates!F$2:F$70,MATCH("EQUIP_"&amp;Inputs!$B$14,Rates!$A$2:$A$70,0))+Rates!F42</f>
      </c>
      <c r="G13" s="4">
        <f>E13*(1+Inputs!$B$24+Rates!$E$70)/(1-Inputs!$B$25-Inputs!$B$26)</f>
      </c>
      <c r="H13" s="3" t="inlineStr">
        <is>
          <t xml:space="preserve">VERIFIED</t>
        </is>
      </c>
    </row>
    <row r="14">
      <c r="A14" s="5">
        <v>13</v>
      </c>
      <c r="B14" s="3" t="inlineStr">
        <is>
          <t xml:space="preserve">Heater and gas</t>
        </is>
      </c>
      <c r="C14" s="3" t="inlineStr">
        <is>
          <t xml:space="preserve">Heater, install, and gas line when needed</t>
        </is>
      </c>
      <c r="D14" s="4">
        <f>INDEX(Rates!D$2:D$70,MATCH("HEAT_"&amp;Inputs!$B$15,Rates!$A$2:$A$70,0))+IF(Inputs!$B$15="None",0,Rates!D46)+IF(Inputs!$B$16="Yes",Rates!D47,0)</f>
      </c>
      <c r="E14" s="4">
        <f>INDEX(Rates!E$2:E$70,MATCH("HEAT_"&amp;Inputs!$B$15,Rates!$A$2:$A$70,0))+IF(Inputs!$B$15="None",0,Rates!E46)+IF(Inputs!$B$16="Yes",Rates!E47,0)</f>
      </c>
      <c r="F14" s="4">
        <f>INDEX(Rates!F$2:F$70,MATCH("HEAT_"&amp;Inputs!$B$15,Rates!$A$2:$A$70,0))+IF(Inputs!$B$15="None",0,Rates!F46)+IF(Inputs!$B$16="Yes",Rates!F47,0)</f>
      </c>
      <c r="G14" s="4">
        <f>E14*(1+Inputs!$B$24+Rates!$E$70)/(1-Inputs!$B$25-Inputs!$B$26)</f>
      </c>
      <c r="H14" s="3" t="inlineStr">
        <is>
          <t xml:space="preserve">VERIFIED</t>
        </is>
      </c>
    </row>
    <row r="15">
      <c r="A15" s="5">
        <v>14</v>
      </c>
      <c r="B15" s="3" t="inlineStr">
        <is>
          <t xml:space="preserve">Pool lighting</t>
        </is>
      </c>
      <c r="C15" s="3" t="inlineStr">
        <is>
          <t xml:space="preserve">LED lights, installed</t>
        </is>
      </c>
      <c r="D15" s="4">
        <f>Inputs!$B$17*Rates!D48</f>
      </c>
      <c r="E15" s="4">
        <f>Inputs!$B$17*Rates!E48</f>
      </c>
      <c r="F15" s="4">
        <f>Inputs!$B$17*Rates!F48</f>
      </c>
      <c r="G15" s="4">
        <f>E15*(1+Inputs!$B$24+Rates!$E$70)/(1-Inputs!$B$25-Inputs!$B$26)</f>
      </c>
      <c r="H15" s="3" t="inlineStr">
        <is>
          <t xml:space="preserve">VERIFIED</t>
        </is>
      </c>
    </row>
    <row r="16">
      <c r="A16" s="5">
        <v>15</v>
      </c>
      <c r="B16" s="3" t="inlineStr">
        <is>
          <t xml:space="preserve">Electrical and bonding</t>
        </is>
      </c>
      <c r="C16" s="3" t="inlineStr">
        <is>
          <t xml:space="preserve">Bonding grid, circuits, GFCI, disconnect; panel upgrade when needed</t>
        </is>
      </c>
      <c r="D16" s="4">
        <f>Rates!D49+IF(Inputs!$B$18="Yes",Rates!D50,0)</f>
      </c>
      <c r="E16" s="4">
        <f>Rates!E49+IF(Inputs!$B$18="Yes",Rates!E50,0)</f>
      </c>
      <c r="F16" s="4">
        <f>Rates!F49+IF(Inputs!$B$18="Yes",Rates!F50,0)</f>
      </c>
      <c r="G16" s="4">
        <f>E16*(1+Inputs!$B$24+Rates!$E$70)/(1-Inputs!$B$25-Inputs!$B$26)</f>
      </c>
      <c r="H16" s="3" t="inlineStr">
        <is>
          <t xml:space="preserve">ASSUMED</t>
        </is>
      </c>
    </row>
    <row r="17">
      <c r="A17" s="5">
        <v>16</v>
      </c>
      <c r="B17" s="3" t="inlineStr">
        <is>
          <t xml:space="preserve">Concrete collar</t>
        </is>
      </c>
      <c r="C17" s="3" t="inlineStr">
        <is>
          <t xml:space="preserve">Collar or bond beam that carries the coping, per LF</t>
        </is>
      </c>
      <c r="D17" s="4">
        <f>Takeoff!B14*Rates!D51</f>
      </c>
      <c r="E17" s="4">
        <f>Takeoff!C14*Rates!E51</f>
      </c>
      <c r="F17" s="4">
        <f>Takeoff!D14*Rates!F51</f>
      </c>
      <c r="G17" s="4">
        <f>E17*(1+Inputs!$B$24+Rates!$E$70)/(1-Inputs!$B$25-Inputs!$B$26)</f>
      </c>
      <c r="H17" s="3" t="inlineStr">
        <is>
          <t xml:space="preserve">ASSUMED</t>
        </is>
      </c>
    </row>
    <row r="18">
      <c r="A18" s="5">
        <v>17</v>
      </c>
      <c r="B18" s="3" t="inlineStr">
        <is>
          <t xml:space="preserve">Coping</t>
        </is>
      </c>
      <c r="C18" s="3" t="inlineStr">
        <is>
          <t xml:space="preserve">Coping over the 8 in fiberglass coping, installed, per LF</t>
        </is>
      </c>
      <c r="D18" s="4">
        <f>Takeoff!B14*INDEX(Rates!D$2:D$70,MATCH("COPE_"&amp;Inputs!$B$10,Rates!$A$2:$A$70,0))</f>
      </c>
      <c r="E18" s="4">
        <f>Takeoff!C14*INDEX(Rates!E$2:E$70,MATCH("COPE_"&amp;Inputs!$B$10,Rates!$A$2:$A$70,0))</f>
      </c>
      <c r="F18" s="4">
        <f>Takeoff!D14*INDEX(Rates!F$2:F$70,MATCH("COPE_"&amp;Inputs!$B$10,Rates!$A$2:$A$70,0))</f>
      </c>
      <c r="G18" s="4">
        <f>E18*(1+Inputs!$B$24+Rates!$E$70)/(1-Inputs!$B$25-Inputs!$B$26)</f>
      </c>
      <c r="H18" s="3" t="inlineStr">
        <is>
          <t xml:space="preserve">VERIFIED</t>
        </is>
      </c>
    </row>
    <row r="19">
      <c r="A19" s="5">
        <v>18</v>
      </c>
      <c r="B19" s="3" t="inlineStr">
        <is>
          <t xml:space="preserve">Decking</t>
        </is>
      </c>
      <c r="C19" s="3" t="inlineStr">
        <is>
          <t xml:space="preserve">New deck, installed, per sf</t>
        </is>
      </c>
      <c r="D19" s="4">
        <f>Inputs!$B$13*INDEX(Rates!D$2:D$70,MATCH("DECK_"&amp;Inputs!$B$12,Rates!$A$2:$A$70,0))</f>
      </c>
      <c r="E19" s="4">
        <f>Inputs!$B$13*INDEX(Rates!E$2:E$70,MATCH("DECK_"&amp;Inputs!$B$12,Rates!$A$2:$A$70,0))</f>
      </c>
      <c r="F19" s="4">
        <f>Inputs!$B$13*INDEX(Rates!F$2:F$70,MATCH("DECK_"&amp;Inputs!$B$12,Rates!$A$2:$A$70,0))</f>
      </c>
      <c r="G19" s="4">
        <f>E19*(1+Inputs!$B$24+Rates!$E$70)/(1-Inputs!$B$25-Inputs!$B$26)</f>
      </c>
      <c r="H19" s="3" t="inlineStr">
        <is>
          <t xml:space="preserve">VERIFIED</t>
        </is>
      </c>
    </row>
    <row r="20">
      <c r="A20" s="5">
        <v>19</v>
      </c>
      <c r="B20" s="3" t="inlineStr">
        <is>
          <t xml:space="preserve">Separate spa</t>
        </is>
      </c>
      <c r="C20" s="3" t="inlineStr">
        <is>
          <t xml:space="preserve">Bastia or Elba spa, installed with its plumbing and equipment</t>
        </is>
      </c>
      <c r="D20" s="4">
        <f>INDEX(Rates!D$2:D$70,MATCH("SPA_"&amp;Inputs!$B$5,Rates!$A$2:$A$70,0))</f>
      </c>
      <c r="E20" s="4">
        <f>INDEX(Rates!E$2:E$70,MATCH("SPA_"&amp;Inputs!$B$5,Rates!$A$2:$A$70,0))</f>
      </c>
      <c r="F20" s="4">
        <f>INDEX(Rates!F$2:F$70,MATCH("SPA_"&amp;Inputs!$B$5,Rates!$A$2:$A$70,0))</f>
      </c>
      <c r="G20" s="4">
        <f>E20*(1+Inputs!$B$24+Rates!$E$70)/(1-Inputs!$B$25-Inputs!$B$26)</f>
      </c>
      <c r="H20" s="3" t="inlineStr">
        <is>
          <t xml:space="preserve">MIXED</t>
        </is>
      </c>
    </row>
    <row r="21">
      <c r="A21" s="5">
        <v>20</v>
      </c>
      <c r="B21" s="3" t="inlineStr">
        <is>
          <t xml:space="preserve">Aqua Ledge</t>
        </is>
      </c>
      <c r="C21" s="3" t="inlineStr">
        <is>
          <t xml:space="preserve">Sun ledge add-on, installed</t>
        </is>
      </c>
      <c r="D21" s="4">
        <f>IF(Inputs!$B$6="Yes",Rates!D62,0)</f>
      </c>
      <c r="E21" s="4">
        <f>IF(Inputs!$B$6="Yes",Rates!E62,0)</f>
      </c>
      <c r="F21" s="4">
        <f>IF(Inputs!$B$6="Yes",Rates!F62,0)</f>
      </c>
      <c r="G21" s="4">
        <f>E21*(1+Inputs!$B$24+Rates!$E$70)/(1-Inputs!$B$25-Inputs!$B$26)</f>
      </c>
      <c r="H21" s="3" t="inlineStr">
        <is>
          <t xml:space="preserve">MIXED</t>
        </is>
      </c>
    </row>
    <row r="22">
      <c r="A22" s="5">
        <v>21</v>
      </c>
      <c r="B22" s="3" t="inlineStr">
        <is>
          <t xml:space="preserve">Automatic cover</t>
        </is>
      </c>
      <c r="C22" s="3" t="inlineStr">
        <is>
          <t xml:space="preserve">Automatic safety cover, installed</t>
        </is>
      </c>
      <c r="D22" s="4">
        <f>IF(Inputs!$B$21="Yes",Rates!D63,0)</f>
      </c>
      <c r="E22" s="4">
        <f>IF(Inputs!$B$21="Yes",Rates!E63,0)</f>
      </c>
      <c r="F22" s="4">
        <f>IF(Inputs!$B$21="Yes",Rates!F63,0)</f>
      </c>
      <c r="G22" s="4">
        <f>E22*(1+Inputs!$B$24+Rates!$E$70)/(1-Inputs!$B$25-Inputs!$B$26)</f>
      </c>
      <c r="H22" s="3" t="inlineStr">
        <is>
          <t xml:space="preserve">VERIFIED</t>
        </is>
      </c>
    </row>
    <row r="23">
      <c r="A23" s="5">
        <v>22</v>
      </c>
      <c r="B23" s="3" t="inlineStr">
        <is>
          <t xml:space="preserve">Safety fence</t>
        </is>
      </c>
      <c r="C23" s="3" t="inlineStr">
        <is>
          <t xml:space="preserve">Barrier to Texas Health and Safety Code Ch. 757 and the city's code</t>
        </is>
      </c>
      <c r="D23" s="4">
        <f>Inputs!$B$19*INDEX(Rates!D$2:D$70,MATCH("FENCE_"&amp;Inputs!$B$20,Rates!$A$2:$A$70,0))</f>
      </c>
      <c r="E23" s="4">
        <f>Inputs!$B$19*INDEX(Rates!E$2:E$70,MATCH("FENCE_"&amp;Inputs!$B$20,Rates!$A$2:$A$70,0))</f>
      </c>
      <c r="F23" s="4">
        <f>Inputs!$B$19*INDEX(Rates!F$2:F$70,MATCH("FENCE_"&amp;Inputs!$B$20,Rates!$A$2:$A$70,0))</f>
      </c>
      <c r="G23" s="4">
        <f>E23*(1+Inputs!$B$24+Rates!$E$70)/(1-Inputs!$B$25-Inputs!$B$26)</f>
      </c>
      <c r="H23" s="3" t="inlineStr">
        <is>
          <t xml:space="preserve">VERIFIED</t>
        </is>
      </c>
    </row>
    <row r="24">
      <c r="A24" s="5">
        <v>23</v>
      </c>
      <c r="B24" s="3" t="inlineStr">
        <is>
          <t xml:space="preserve">Water fill</t>
        </is>
      </c>
      <c r="C24" s="3" t="inlineStr">
        <is>
          <t xml:space="preserve">City water at Dallas residential tier rates (homeowner's meter)</t>
        </is>
      </c>
      <c r="D24" s="4">
        <f>Takeoff!B26/1000*Rates!D66</f>
      </c>
      <c r="E24" s="4">
        <f>Takeoff!C26/1000*Rates!E66</f>
      </c>
      <c r="F24" s="4">
        <f>Takeoff!D26/1000*Rates!F66</f>
      </c>
      <c r="G24" s="4">
        <f>E24*(1+Inputs!$B$24+Rates!$E$70)/(1-Inputs!$B$25-Inputs!$B$26)</f>
      </c>
      <c r="H24" s="3" t="inlineStr">
        <is>
          <t xml:space="preserve">VERIFIED</t>
        </is>
      </c>
    </row>
    <row r="25">
      <c r="A25" s="5">
        <v>24</v>
      </c>
      <c r="B25" s="3" t="inlineStr">
        <is>
          <t xml:space="preserve">Start-up and chemistry</t>
        </is>
      </c>
      <c r="C25" s="3" t="inlineStr">
        <is>
          <t xml:space="preserve">Salt, balancing chemicals, first-week visits</t>
        </is>
      </c>
      <c r="D25" s="4">
        <f>Rates!D67</f>
      </c>
      <c r="E25" s="4">
        <f>Rates!E67</f>
      </c>
      <c r="F25" s="4">
        <f>Rates!F67</f>
      </c>
      <c r="G25" s="4">
        <f>E25*(1+Inputs!$B$24+Rates!$E$70)/(1-Inputs!$B$25-Inputs!$B$26)</f>
      </c>
      <c r="H25" s="3" t="inlineStr">
        <is>
          <t xml:space="preserve">ASSUMED</t>
        </is>
      </c>
    </row>
    <row r="26">
      <c r="A26" s="5">
        <v>25</v>
      </c>
      <c r="B26" s="3" t="inlineStr">
        <is>
          <t xml:space="preserve">Permits and inspections</t>
        </is>
      </c>
      <c r="C26" s="3" t="inlineStr">
        <is>
          <t xml:space="preserve">City pool permit and trade fees</t>
        </is>
      </c>
      <c r="D26" s="4">
        <f>Rates!D68</f>
      </c>
      <c r="E26" s="4">
        <f>Rates!E68</f>
      </c>
      <c r="F26" s="4">
        <f>Rates!F68</f>
      </c>
      <c r="G26" s="4">
        <f>E26*(1+Inputs!$B$24+Rates!$E$70)/(1-Inputs!$B$25-Inputs!$B$26)</f>
      </c>
      <c r="H26" s="3" t="inlineStr">
        <is>
          <t xml:space="preserve">MIXED</t>
        </is>
      </c>
    </row>
    <row r="27">
      <c r="A27" s="5">
        <v>26</v>
      </c>
      <c r="B27" s="3" t="inlineStr">
        <is>
          <t xml:space="preserve">Landscape and restoration</t>
        </is>
      </c>
      <c r="C27" s="3" t="inlineStr">
        <is>
          <t xml:space="preserve">Your allowance from Inputs</t>
        </is>
      </c>
      <c r="D27" s="4">
        <f>Inputs!$B$22</f>
      </c>
      <c r="E27" s="4">
        <f>Inputs!$B$22</f>
      </c>
      <c r="F27" s="4">
        <f>Inputs!$B$22</f>
      </c>
      <c r="G27" s="4">
        <f>E27*(1+Inputs!$B$24+Rates!$E$70)/(1-Inputs!$B$25-Inputs!$B$26)</f>
      </c>
      <c r="H27" s="3" t="inlineStr">
        <is>
          <t xml:space="preserve">OWNER</t>
        </is>
      </c>
    </row>
    <row r="28">
      <c r="A28" s="5">
        <v>27</v>
      </c>
      <c r="B28" s="3" t="inlineStr">
        <is>
          <t xml:space="preserve">Other allowance</t>
        </is>
      </c>
      <c r="C28" s="3" t="inlineStr">
        <is>
          <t xml:space="preserve">Your allowance from Inputs</t>
        </is>
      </c>
      <c r="D28" s="4">
        <f>Inputs!$B$23</f>
      </c>
      <c r="E28" s="4">
        <f>Inputs!$B$23</f>
      </c>
      <c r="F28" s="4">
        <f>Inputs!$B$23</f>
      </c>
      <c r="G28" s="4">
        <f>E28*(1+Inputs!$B$24+Rates!$E$70)/(1-Inputs!$B$25-Inputs!$B$26)</f>
      </c>
      <c r="H28" s="3" t="inlineStr">
        <is>
          <t xml:space="preserve">OWNER</t>
        </is>
      </c>
    </row>
    <row r="29">
      <c r="A29" s="5">
        <v>28</v>
      </c>
      <c r="B29" s="3" t="inlineStr">
        <is>
          <t xml:space="preserve">Mobilization and site protection</t>
        </is>
      </c>
      <c r="C29" s="3" t="inlineStr">
        <is>
          <t xml:space="preserve">Temporary safety fence, toilet, protection, cleanup</t>
        </is>
      </c>
      <c r="D29" s="4">
        <f>Rates!D69</f>
      </c>
      <c r="E29" s="4">
        <f>Rates!E69</f>
      </c>
      <c r="F29" s="4">
        <f>Rates!F69</f>
      </c>
      <c r="G29" s="4">
        <f>E29*(1+Inputs!$B$24+Rates!$E$70)/(1-Inputs!$B$25-Inputs!$B$26)</f>
      </c>
      <c r="H29" s="3" t="inlineStr">
        <is>
          <t xml:space="preserve">ASSUMED</t>
        </is>
      </c>
    </row>
    <row r="30">
      <c r="A30" s="5"/>
      <c r="B30" s="3" t="inlineStr">
        <is>
          <t xml:space="preserve">Direct cost</t>
        </is>
      </c>
      <c r="C30" s="3" t="inlineStr">
        <is>
          <t xml:space="preserve">Sum of lines 1 to 28</t>
        </is>
      </c>
      <c r="D30" s="4">
        <f>SUM(D2:D29)</f>
      </c>
      <c r="E30" s="4">
        <f>SUM(E2:E29)</f>
      </c>
      <c r="F30" s="4">
        <f>SUM(F2:F29)</f>
      </c>
      <c r="G30" s="4">
        <f>SUM(G2:G29)</f>
      </c>
      <c r="H30" s="3"/>
    </row>
    <row r="31">
      <c r="A31" s="5"/>
      <c r="B31" s="3" t="inlineStr">
        <is>
          <t xml:space="preserve">Overhead</t>
        </is>
      </c>
      <c r="C31" s="3" t="inlineStr">
        <is>
          <t xml:space="preserve">Direct cost x overhead % (Inputs)</t>
        </is>
      </c>
      <c r="D31" s="4">
        <f>D30*Inputs!$B$24</f>
      </c>
      <c r="E31" s="4">
        <f>E30*Inputs!$B$24</f>
      </c>
      <c r="F31" s="4">
        <f>F30*Inputs!$B$24</f>
      </c>
      <c r="G31" s="4"/>
      <c r="H31" s="3" t="inlineStr">
        <is>
          <t xml:space="preserve">OWNER</t>
        </is>
      </c>
    </row>
    <row r="32">
      <c r="A32" s="5"/>
      <c r="B32" s="3" t="inlineStr">
        <is>
          <t xml:space="preserve">Contingency</t>
        </is>
      </c>
      <c r="C32" s="3" t="inlineStr">
        <is>
          <t xml:space="preserve">Direct cost x contingency % (Rates row 70)</t>
        </is>
      </c>
      <c r="D32" s="4">
        <f>D30*Rates!D70</f>
      </c>
      <c r="E32" s="4">
        <f>E30*Rates!E70</f>
      </c>
      <c r="F32" s="4">
        <f>F30*Rates!F70</f>
      </c>
      <c r="G32" s="4"/>
      <c r="H32" s="3" t="inlineStr">
        <is>
          <t xml:space="preserve">ASSUMED</t>
        </is>
      </c>
    </row>
    <row r="33">
      <c r="A33" s="5"/>
      <c r="B33" s="3" t="inlineStr">
        <is>
          <t xml:space="preserve">Total cost</t>
        </is>
      </c>
      <c r="C33" s="3" t="inlineStr">
        <is>
          <t xml:space="preserve">Direct cost + overhead + contingency</t>
        </is>
      </c>
      <c r="D33" s="4">
        <f>D30+D31+D32</f>
      </c>
      <c r="E33" s="4">
        <f>E30+E31+E32</f>
      </c>
      <c r="F33" s="4">
        <f>F30+F31+F32</f>
      </c>
      <c r="G33" s="4"/>
      <c r="H33" s="3"/>
    </row>
    <row r="34">
      <c r="A34" s="5"/>
      <c r="B34" s="3" t="inlineStr">
        <is>
          <t xml:space="preserve">Sell price (quote)</t>
        </is>
      </c>
      <c r="C34" s="3" t="inlineStr">
        <is>
          <t xml:space="preserve">Total cost / (1 - net margin - commission)</t>
        </is>
      </c>
      <c r="D34" s="4">
        <f>D33/(1-Inputs!$B$25-Inputs!$B$26)</f>
      </c>
      <c r="E34" s="4">
        <f>E33/(1-Inputs!$B$25-Inputs!$B$26)</f>
      </c>
      <c r="F34" s="4">
        <f>F33/(1-Inputs!$B$25-Inputs!$B$26)</f>
      </c>
      <c r="G34" s="4"/>
      <c r="H34" s="3"/>
    </row>
    <row r="35">
      <c r="A35" s="5"/>
      <c r="B35" s="3" t="inlineStr">
        <is>
          <t xml:space="preserve">Sales commission</t>
        </is>
      </c>
      <c r="C35" s="3" t="inlineStr">
        <is>
          <t xml:space="preserve">Sell price x commission %</t>
        </is>
      </c>
      <c r="D35" s="4">
        <f>D34*Inputs!$B$26</f>
      </c>
      <c r="E35" s="4">
        <f>E34*Inputs!$B$26</f>
      </c>
      <c r="F35" s="4">
        <f>F34*Inputs!$B$26</f>
      </c>
      <c r="G35" s="4"/>
      <c r="H35" s="3"/>
    </row>
    <row r="36">
      <c r="A36" s="5"/>
      <c r="B36" s="3" t="inlineStr">
        <is>
          <t xml:space="preserve">Net profit</t>
        </is>
      </c>
      <c r="C36" s="3" t="inlineStr">
        <is>
          <t xml:space="preserve">Sell price - total cost - commission</t>
        </is>
      </c>
      <c r="D36" s="4">
        <f>D34-D33-D35</f>
      </c>
      <c r="E36" s="4">
        <f>E34-E33-E35</f>
      </c>
      <c r="F36" s="4">
        <f>F34-F33-F35</f>
      </c>
      <c r="G36" s="4"/>
      <c r="H36" s="3"/>
    </row>
    <row r="37">
      <c r="A37" s="5"/>
      <c r="B37" s="3" t="inlineStr">
        <is>
          <t xml:space="preserve">Net margin check</t>
        </is>
      </c>
      <c r="C37" s="3" t="inlineStr">
        <is>
          <t xml:space="preserve">Net profit / sell price; should equal the Inputs target</t>
        </is>
      </c>
      <c r="D37" s="6">
        <f>D36/D34</f>
      </c>
      <c r="E37" s="6">
        <f>E36/E34</f>
      </c>
      <c r="F37" s="6">
        <f>F36/F34</f>
      </c>
      <c r="G37" s="4"/>
      <c r="H37" s="3"/>
    </row>
    <row r="38">
      <c r="A38" s="5"/>
      <c r="B38" s="3" t="inlineStr">
        <is>
          <t xml:space="preserve">Quote, rounded up to $500</t>
        </is>
      </c>
      <c r="C38" s="3" t="inlineStr">
        <is>
          <t xml:space="preserve">Proposal figure</t>
        </is>
      </c>
      <c r="D38" s="4">
        <f>ROUNDUP(D34/500,0)*500</f>
      </c>
      <c r="E38" s="4">
        <f>ROUNDUP(E34/500,0)*500</f>
      </c>
      <c r="F38" s="4">
        <f>ROUNDUP(F34/500,0)*500</f>
      </c>
      <c r="G38" s="4"/>
      <c r="H38" s="3"/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F27"/>
  <sheetViews>
    <sheetView workbookViewId="0">
      <pane xSplit="1" ySplit="1" topLeftCell="B2" activePane="bottomRight" state="frozen"/>
    </sheetView>
  </sheetViews>
  <sheetFormatPr defaultRowHeight="15"/>
  <cols>
    <col min="1" max="1" width="40" customWidth="1"/>
    <col min="2" max="2" width="13" customWidth="1"/>
    <col min="3" max="3" width="13" customWidth="1"/>
    <col min="4" max="4" width="13" customWidth="1"/>
    <col min="5" max="5" width="12" customWidth="1"/>
    <col min="6" max="6" width="92" customWidth="1"/>
  </cols>
  <sheetData>
    <row r="1" ht="22" customHeight="1">
      <c r="A1" s="1" t="inlineStr">
        <is>
          <t xml:space="preserve">Quantity (computed, do not type here)</t>
        </is>
      </c>
      <c r="B1" s="2" t="inlineStr">
        <is>
          <t xml:space="preserve">Low</t>
        </is>
      </c>
      <c r="C1" s="2" t="inlineStr">
        <is>
          <t xml:space="preserve">Likely</t>
        </is>
      </c>
      <c r="D1" s="2" t="inlineStr">
        <is>
          <t xml:space="preserve">High</t>
        </is>
      </c>
      <c r="E1" s="1" t="inlineStr">
        <is>
          <t xml:space="preserve">Unit</t>
        </is>
      </c>
      <c r="F1" s="1" t="inlineStr">
        <is>
          <t xml:space="preserve">How it is computed</t>
        </is>
      </c>
    </row>
    <row r="2">
      <c r="A2" s="3" t="inlineStr">
        <is>
          <t xml:space="preserve">Shell row in catalog</t>
        </is>
      </c>
      <c r="B2" s="5">
        <f>MATCH(Inputs!$B$4,Shells!$A$2:$A$35,0)</f>
      </c>
      <c r="C2" s="5">
        <f>B2</f>
      </c>
      <c r="D2" s="5">
        <f>B2</f>
      </c>
      <c r="E2" s="3" t="inlineStr">
        <is>
          <t xml:space="preserve">row</t>
        </is>
      </c>
      <c r="F2" s="3" t="inlineStr">
        <is>
          <t xml:space="preserve">Position of the Inputs model in the Shells list</t>
        </is>
      </c>
    </row>
    <row r="3">
      <c r="A3" s="3" t="inlineStr">
        <is>
          <t xml:space="preserve">Spa row in catalog</t>
        </is>
      </c>
      <c r="B3" s="5">
        <f>IF(Inputs!$B$5="None",0,MATCH(Inputs!$B$5,Shells!$A$2:$A$35,0))</f>
      </c>
      <c r="C3" s="5">
        <f>B3</f>
      </c>
      <c r="D3" s="5">
        <f>B3</f>
      </c>
      <c r="E3" s="3" t="inlineStr">
        <is>
          <t xml:space="preserve">row</t>
        </is>
      </c>
      <c r="F3" s="3" t="inlineStr">
        <is>
          <t xml:space="preserve">0 when no separate spa</t>
        </is>
      </c>
    </row>
    <row r="4">
      <c r="A4" s="3" t="inlineStr">
        <is>
          <t xml:space="preserve">Shell external width</t>
        </is>
      </c>
      <c r="B4" s="7">
        <f>INDEX(Shells!$E$2:$E$35,B$2)</f>
      </c>
      <c r="C4" s="7">
        <f>INDEX(Shells!$E$2:$E$35,C$2)</f>
      </c>
      <c r="D4" s="7">
        <f>INDEX(Shells!$E$2:$E$35,D$2)</f>
      </c>
      <c r="E4" s="3" t="inlineStr">
        <is>
          <t xml:space="preserve">ft</t>
        </is>
      </c>
      <c r="F4" s="3" t="inlineStr">
        <is>
          <t xml:space="preserve">Shells column E (AquaTechnics external width)</t>
        </is>
      </c>
    </row>
    <row r="5">
      <c r="A5" s="3" t="inlineStr">
        <is>
          <t xml:space="preserve">Shell external length</t>
        </is>
      </c>
      <c r="B5" s="7">
        <f>INDEX(Shells!$F$2:$F$35,B$2)</f>
      </c>
      <c r="C5" s="7">
        <f>INDEX(Shells!$F$2:$F$35,C$2)</f>
      </c>
      <c r="D5" s="7">
        <f>INDEX(Shells!$F$2:$F$35,D$2)</f>
      </c>
      <c r="E5" s="3" t="inlineStr">
        <is>
          <t xml:space="preserve">ft</t>
        </is>
      </c>
      <c r="F5" s="3" t="inlineStr">
        <is>
          <t xml:space="preserve">Shells column F</t>
        </is>
      </c>
    </row>
    <row r="6">
      <c r="A6" s="3" t="inlineStr">
        <is>
          <t xml:space="preserve">Shell average depth</t>
        </is>
      </c>
      <c r="B6" s="7">
        <f>(INDEX(Shells!$G$2:$G$35,B$2)+INDEX(Shells!$H$2:$H$35,B$2))/2</f>
      </c>
      <c r="C6" s="7">
        <f>(INDEX(Shells!$G$2:$G$35,C$2)+INDEX(Shells!$H$2:$H$35,C$2))/2</f>
      </c>
      <c r="D6" s="7">
        <f>(INDEX(Shells!$G$2:$G$35,D$2)+INDEX(Shells!$H$2:$H$35,D$2))/2</f>
      </c>
      <c r="E6" s="3" t="inlineStr">
        <is>
          <t xml:space="preserve">ft</t>
        </is>
      </c>
      <c r="F6" s="3" t="inlineStr">
        <is>
          <t xml:space="preserve">Mean of the printed shallow and deep depths</t>
        </is>
      </c>
    </row>
    <row r="7">
      <c r="A7" s="3" t="inlineStr">
        <is>
          <t xml:space="preserve">Size class</t>
        </is>
      </c>
      <c r="B7" s="3">
        <f>INDEX(Shells!$I$2:$I$35,B$2)</f>
      </c>
      <c r="C7" s="3">
        <f>INDEX(Shells!$I$2:$I$35,C$2)</f>
      </c>
      <c r="D7" s="3">
        <f>INDEX(Shells!$I$2:$I$35,D$2)</f>
      </c>
      <c r="E7" s="3" t="inlineStr">
        <is>
          <t xml:space="preserve">class</t>
        </is>
      </c>
      <c r="F7" s="3" t="inlineStr">
        <is>
          <t xml:space="preserve">Shells column I</t>
        </is>
      </c>
    </row>
    <row r="8">
      <c r="A8" s="3" t="inlineStr">
        <is>
          <t xml:space="preserve">Built-in spa</t>
        </is>
      </c>
      <c r="B8" s="3">
        <f>INDEX(Shells!$J$2:$J$35,B$2)</f>
      </c>
      <c r="C8" s="3">
        <f>INDEX(Shells!$J$2:$J$35,C$2)</f>
      </c>
      <c r="D8" s="3">
        <f>INDEX(Shells!$J$2:$J$35,D$2)</f>
      </c>
      <c r="E8" s="3" t="inlineStr">
        <is>
          <t xml:space="preserve">Yes/No</t>
        </is>
      </c>
      <c r="F8" s="3" t="inlineStr">
        <is>
          <t xml:space="preserve">Resort series carry a spa in the shell</t>
        </is>
      </c>
    </row>
    <row r="9">
      <c r="A9" s="3" t="inlineStr">
        <is>
          <t xml:space="preserve">Spa external width</t>
        </is>
      </c>
      <c r="B9" s="7">
        <f>IF(B$3=0,0,INDEX(Shells!$E$2:$E$35,B$3))</f>
      </c>
      <c r="C9" s="7">
        <f>IF(C$3=0,0,INDEX(Shells!$E$2:$E$35,C$3))</f>
      </c>
      <c r="D9" s="7">
        <f>IF(D$3=0,0,INDEX(Shells!$E$2:$E$35,D$3))</f>
      </c>
      <c r="E9" s="3" t="inlineStr">
        <is>
          <t xml:space="preserve">ft</t>
        </is>
      </c>
      <c r="F9" s="3" t="inlineStr">
        <is>
          <t xml:space="preserve">Separate spa only</t>
        </is>
      </c>
    </row>
    <row r="10">
      <c r="A10" s="3" t="inlineStr">
        <is>
          <t xml:space="preserve">Spa external length</t>
        </is>
      </c>
      <c r="B10" s="7">
        <f>IF(B$3=0,0,INDEX(Shells!$F$2:$F$35,B$3))</f>
      </c>
      <c r="C10" s="7">
        <f>IF(C$3=0,0,INDEX(Shells!$F$2:$F$35,C$3))</f>
      </c>
      <c r="D10" s="7">
        <f>IF(D$3=0,0,INDEX(Shells!$F$2:$F$35,D$3))</f>
      </c>
      <c r="E10" s="3" t="inlineStr">
        <is>
          <t xml:space="preserve">ft</t>
        </is>
      </c>
      <c r="F10" s="3" t="inlineStr">
        <is>
          <t xml:space="preserve">Separate spa only</t>
        </is>
      </c>
    </row>
    <row r="11">
      <c r="A11" s="3" t="inlineStr">
        <is>
          <t xml:space="preserve">Spa average depth</t>
        </is>
      </c>
      <c r="B11" s="7">
        <f>IF(B$3=0,0,(INDEX(Shells!$G$2:$G$35,B$3)+INDEX(Shells!$H$2:$H$35,B$3))/2)</f>
      </c>
      <c r="C11" s="7">
        <f>IF(C$3=0,0,(INDEX(Shells!$G$2:$G$35,C$3)+INDEX(Shells!$H$2:$H$35,C$3))/2)</f>
      </c>
      <c r="D11" s="7">
        <f>IF(D$3=0,0,(INDEX(Shells!$G$2:$G$35,D$3)+INDEX(Shells!$H$2:$H$35,D$3))/2)</f>
      </c>
      <c r="E11" s="3" t="inlineStr">
        <is>
          <t xml:space="preserve">ft</t>
        </is>
      </c>
      <c r="F11" s="3" t="inlineStr">
        <is>
          <t xml:space="preserve">Separate spa only</t>
        </is>
      </c>
    </row>
    <row r="12">
      <c r="A12" s="3" t="inlineStr">
        <is>
          <t xml:space="preserve">Shell perimeter</t>
        </is>
      </c>
      <c r="B12" s="7">
        <f>2*(B4+B5)</f>
      </c>
      <c r="C12" s="7">
        <f>2*(C4+C5)</f>
      </c>
      <c r="D12" s="7">
        <f>2*(D4+D5)</f>
      </c>
      <c r="E12" s="3" t="inlineStr">
        <is>
          <t xml:space="preserve">LF</t>
        </is>
      </c>
      <c r="F12" s="3" t="inlineStr">
        <is>
          <t xml:space="preserve">2 x (width + length), rectangular take-off</t>
        </is>
      </c>
    </row>
    <row r="13">
      <c r="A13" s="3" t="inlineStr">
        <is>
          <t xml:space="preserve">Spa perimeter</t>
        </is>
      </c>
      <c r="B13" s="7">
        <f>2*(B9+B10)</f>
      </c>
      <c r="C13" s="7">
        <f>2*(C9+C10)</f>
      </c>
      <c r="D13" s="7">
        <f>2*(D9+D10)</f>
      </c>
      <c r="E13" s="3" t="inlineStr">
        <is>
          <t xml:space="preserve">LF</t>
        </is>
      </c>
      <c r="F13" s="3" t="inlineStr">
        <is>
          <t xml:space="preserve">2 x (width + length)</t>
        </is>
      </c>
    </row>
    <row r="14">
      <c r="A14" s="3" t="inlineStr">
        <is>
          <t xml:space="preserve">Coping and collar run</t>
        </is>
      </c>
      <c r="B14" s="7">
        <f>IF(Inputs!$B$11&gt;0,Inputs!$B$11,B12+B13)</f>
      </c>
      <c r="C14" s="7">
        <f>IF(Inputs!$B$11&gt;0,Inputs!$B$11,C12+C13)</f>
      </c>
      <c r="D14" s="7">
        <f>IF(Inputs!$B$11&gt;0,Inputs!$B$11,D12+D13)</f>
      </c>
      <c r="E14" s="3" t="inlineStr">
        <is>
          <t xml:space="preserve">LF</t>
        </is>
      </c>
      <c r="F14" s="3" t="inlineStr">
        <is>
          <t xml:space="preserve">Override on Inputs, else shell + spa perimeter</t>
        </is>
      </c>
    </row>
    <row r="15">
      <c r="A15" s="3" t="inlineStr">
        <is>
          <t xml:space="preserve">Over-dig, each side</t>
        </is>
      </c>
      <c r="B15" s="7">
        <f>Rates!D13</f>
      </c>
      <c r="C15" s="7">
        <f>Rates!E13</f>
      </c>
      <c r="D15" s="7">
        <f>Rates!F13</f>
      </c>
      <c r="E15" s="3" t="inlineStr">
        <is>
          <t xml:space="preserve">ft</t>
        </is>
      </c>
      <c r="F15" s="3" t="inlineStr">
        <is>
          <t xml:space="preserve">Rates row 13</t>
        </is>
      </c>
    </row>
    <row r="16">
      <c r="A16" s="3" t="inlineStr">
        <is>
          <t xml:space="preserve">Over-dig, below shell (stone base)</t>
        </is>
      </c>
      <c r="B16" s="7">
        <f>Rates!D14</f>
      </c>
      <c r="C16" s="7">
        <f>Rates!E14</f>
      </c>
      <c r="D16" s="7">
        <f>Rates!F14</f>
      </c>
      <c r="E16" s="3" t="inlineStr">
        <is>
          <t xml:space="preserve">ft</t>
        </is>
      </c>
      <c r="F16" s="3" t="inlineStr">
        <is>
          <t xml:space="preserve">Rates row 14</t>
        </is>
      </c>
    </row>
    <row r="17">
      <c r="A17" s="3" t="inlineStr">
        <is>
          <t xml:space="preserve">Excavation, bank volume</t>
        </is>
      </c>
      <c r="B17" s="7">
        <f>ROUND(((B4+2*B15)*(B5+2*B15)*(B6+B16)+IF(B3=0,0,(B9+2*B15)*(B10+2*B15)*(B11+B16)))/27,1)</f>
      </c>
      <c r="C17" s="7">
        <f>ROUND(((C4+2*C15)*(C5+2*C15)*(C6+C16)+IF(C3=0,0,(C9+2*C15)*(C10+2*C15)*(C11+C16)))/27,1)</f>
      </c>
      <c r="D17" s="7">
        <f>ROUND(((D4+2*D15)*(D5+2*D15)*(D6+D16)+IF(D3=0,0,(D9+2*D15)*(D10+2*D15)*(D11+D16)))/27,1)</f>
      </c>
      <c r="E17" s="3" t="inlineStr">
        <is>
          <t xml:space="preserve">cy</t>
        </is>
      </c>
      <c r="F17" s="3" t="inlineStr">
        <is>
          <t xml:space="preserve">(W + 2 x side) x (L + 2 x side) x (avg depth + base), shell plus spa, / 27</t>
        </is>
      </c>
    </row>
    <row r="18">
      <c r="A18" s="3" t="inlineStr">
        <is>
          <t xml:space="preserve">Swell factor</t>
        </is>
      </c>
      <c r="B18" s="7">
        <f>Rates!D15</f>
      </c>
      <c r="C18" s="7">
        <f>Rates!E15</f>
      </c>
      <c r="D18" s="7">
        <f>Rates!F15</f>
      </c>
      <c r="E18" s="3" t="inlineStr">
        <is>
          <t xml:space="preserve">factor</t>
        </is>
      </c>
      <c r="F18" s="3" t="inlineStr">
        <is>
          <t xml:space="preserve">Rates row 15</t>
        </is>
      </c>
    </row>
    <row r="19">
      <c r="A19" s="3" t="inlineStr">
        <is>
          <t xml:space="preserve">Excavation, loose volume</t>
        </is>
      </c>
      <c r="B19" s="7">
        <f>B17*B18</f>
      </c>
      <c r="C19" s="7">
        <f>C17*C18</f>
      </c>
      <c r="D19" s="7">
        <f>D17*D18</f>
      </c>
      <c r="E19" s="3" t="inlineStr">
        <is>
          <t xml:space="preserve">cy</t>
        </is>
      </c>
      <c r="F19" s="3" t="inlineStr">
        <is>
          <t xml:space="preserve">Bank x swell</t>
        </is>
      </c>
    </row>
    <row r="20">
      <c r="A20" s="3" t="inlineStr">
        <is>
          <t xml:space="preserve">Truck capacity</t>
        </is>
      </c>
      <c r="B20" s="7">
        <f>Rates!D16</f>
      </c>
      <c r="C20" s="7">
        <f>Rates!E16</f>
      </c>
      <c r="D20" s="7">
        <f>Rates!F16</f>
      </c>
      <c r="E20" s="3" t="inlineStr">
        <is>
          <t xml:space="preserve">cy/load</t>
        </is>
      </c>
      <c r="F20" s="3" t="inlineStr">
        <is>
          <t xml:space="preserve">Rates row 16</t>
        </is>
      </c>
    </row>
    <row r="21">
      <c r="A21" s="3" t="inlineStr">
        <is>
          <t xml:space="preserve">Truck loads</t>
        </is>
      </c>
      <c r="B21" s="5">
        <f>ROUNDUP(B19/B20,0)</f>
      </c>
      <c r="C21" s="5">
        <f>ROUNDUP(C19/C20,0)</f>
      </c>
      <c r="D21" s="5">
        <f>ROUNDUP(D19/D20,0)</f>
      </c>
      <c r="E21" s="3" t="inlineStr">
        <is>
          <t xml:space="preserve">loads</t>
        </is>
      </c>
      <c r="F21" s="3" t="inlineStr">
        <is>
          <t xml:space="preserve">Loose volume / capacity, rounded up</t>
        </is>
      </c>
    </row>
    <row r="22">
      <c r="A22" s="3" t="inlineStr">
        <is>
          <t xml:space="preserve">Spoil weight</t>
        </is>
      </c>
      <c r="B22" s="7">
        <f>B17*Rates!D18</f>
      </c>
      <c r="C22" s="7">
        <f>C17*Rates!E18</f>
      </c>
      <c r="D22" s="7">
        <f>D17*Rates!F18</f>
      </c>
      <c r="E22" s="3" t="inlineStr">
        <is>
          <t xml:space="preserve">tons</t>
        </is>
      </c>
      <c r="F22" s="3" t="inlineStr">
        <is>
          <t xml:space="preserve">Bank volume x Rates row 18</t>
        </is>
      </c>
    </row>
    <row r="23">
      <c r="A23" s="3" t="inlineStr">
        <is>
          <t xml:space="preserve">Shell displacement</t>
        </is>
      </c>
      <c r="B23" s="7">
        <f>B26/7.48/27*1.05</f>
      </c>
      <c r="C23" s="7">
        <f>C26/7.48/27*1.05</f>
      </c>
      <c r="D23" s="7">
        <f>D26/7.48/27*1.05</f>
      </c>
      <c r="E23" s="3" t="inlineStr">
        <is>
          <t xml:space="preserve">cy</t>
        </is>
      </c>
      <c r="F23" s="3" t="inlineStr">
        <is>
          <t xml:space="preserve">Water volume / 7.48 / 27 x 1.05 for the shell wall</t>
        </is>
      </c>
    </row>
    <row r="24">
      <c r="A24" s="3" t="inlineStr">
        <is>
          <t xml:space="preserve">Base and backfill stone</t>
        </is>
      </c>
      <c r="B24" s="7">
        <f>MAX(0,B17-B23)</f>
      </c>
      <c r="C24" s="7">
        <f>MAX(0,C17-C23)</f>
      </c>
      <c r="D24" s="7">
        <f>MAX(0,D17-D23)</f>
      </c>
      <c r="E24" s="3" t="inlineStr">
        <is>
          <t xml:space="preserve">cy</t>
        </is>
      </c>
      <c r="F24" s="3" t="inlineStr">
        <is>
          <t xml:space="preserve">Bank volume less shell displacement</t>
        </is>
      </c>
    </row>
    <row r="25">
      <c r="A25" s="3" t="inlineStr">
        <is>
          <t xml:space="preserve">Base and backfill stone</t>
        </is>
      </c>
      <c r="B25" s="7">
        <f>B24*Rates!D21</f>
      </c>
      <c r="C25" s="7">
        <f>C24*Rates!E21</f>
      </c>
      <c r="D25" s="7">
        <f>D24*Rates!F21</f>
      </c>
      <c r="E25" s="3" t="inlineStr">
        <is>
          <t xml:space="preserve">tons</t>
        </is>
      </c>
      <c r="F25" s="3" t="inlineStr">
        <is>
          <t xml:space="preserve">Stone cy x Rates row 21</t>
        </is>
      </c>
    </row>
    <row r="26">
      <c r="A26" s="3" t="inlineStr">
        <is>
          <t xml:space="preserve">Water volume</t>
        </is>
      </c>
      <c r="B26" s="5">
        <f>INDEX(Shells!$K$2:$K$35,B2)+IF(B3=0,0,INDEX(Shells!$K$2:$K$35,B3))</f>
      </c>
      <c r="C26" s="5">
        <f>INDEX(Shells!$K$2:$K$35,C2)+IF(C3=0,0,INDEX(Shells!$K$2:$K$35,C3))</f>
      </c>
      <c r="D26" s="5">
        <f>INDEX(Shells!$K$2:$K$35,D2)+IF(D3=0,0,INDEX(Shells!$K$2:$K$35,D3))</f>
      </c>
      <c r="E26" s="3" t="inlineStr">
        <is>
          <t xml:space="preserve">gal</t>
        </is>
      </c>
      <c r="F26" s="3" t="inlineStr">
        <is>
          <t xml:space="preserve">Shells column K, shell plus spa</t>
        </is>
      </c>
    </row>
    <row r="27">
      <c r="A27" s="3" t="inlineStr">
        <is>
          <t xml:space="preserve">Dig days</t>
        </is>
      </c>
      <c r="B27" s="7">
        <f>INDEX(Rates!D$2:D$70,MATCH("EXCDAYS_"&amp;B7,Rates!$A$2:$A$70,0))</f>
      </c>
      <c r="C27" s="7">
        <f>INDEX(Rates!E$2:E$70,MATCH("EXCDAYS_"&amp;C7,Rates!$A$2:$A$70,0))</f>
      </c>
      <c r="D27" s="7">
        <f>INDEX(Rates!F$2:F$70,MATCH("EXCDAYS_"&amp;D7,Rates!$A$2:$A$70,0))</f>
      </c>
      <c r="E27" s="3" t="inlineStr">
        <is>
          <t xml:space="preserve">days</t>
        </is>
      </c>
      <c r="F27" s="3" t="inlineStr">
        <is>
          <t xml:space="preserve">Rates rows 10 to 12 by size class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I70"/>
  <sheetViews>
    <sheetView workbookViewId="0">
      <pane xSplit="2" ySplit="1" topLeftCell="C2" activePane="bottomRight" state="frozen"/>
    </sheetView>
  </sheetViews>
  <sheetFormatPr defaultRowHeight="15"/>
  <cols>
    <col min="1" max="1" width="24" customWidth="1"/>
    <col min="2" max="2" width="60" customWidth="1"/>
    <col min="3" max="3" width="13" customWidth="1"/>
    <col min="4" max="4" width="13" customWidth="1"/>
    <col min="5" max="5" width="13" customWidth="1"/>
    <col min="6" max="6" width="13" customWidth="1"/>
    <col min="7" max="7" width="11" customWidth="1"/>
    <col min="8" max="8" width="120" customWidth="1"/>
    <col min="9" max="9" width="12" customWidth="1"/>
  </cols>
  <sheetData>
    <row r="1" ht="22" customHeight="1">
      <c r="A1" s="1" t="inlineStr">
        <is>
          <t xml:space="preserve">Key</t>
        </is>
      </c>
      <c r="B1" s="1" t="inlineStr">
        <is>
          <t xml:space="preserve">Item</t>
        </is>
      </c>
      <c r="C1" s="1" t="inlineStr">
        <is>
          <t xml:space="preserve">Unit</t>
        </is>
      </c>
      <c r="D1" s="2" t="inlineStr">
        <is>
          <t xml:space="preserve">Low</t>
        </is>
      </c>
      <c r="E1" s="2" t="inlineStr">
        <is>
          <t xml:space="preserve">Likely</t>
        </is>
      </c>
      <c r="F1" s="2" t="inlineStr">
        <is>
          <t xml:space="preserve">High</t>
        </is>
      </c>
      <c r="G1" s="1" t="inlineStr">
        <is>
          <t xml:space="preserve">Status</t>
        </is>
      </c>
      <c r="H1" s="1" t="inlineStr">
        <is>
          <t xml:space="preserve">Where it comes from (source numbers on the Sources sheet)</t>
        </is>
      </c>
      <c r="I1" s="1" t="inlineStr">
        <is>
          <t xml:space="preserve">Read on</t>
        </is>
      </c>
    </row>
    <row r="2">
      <c r="A2" s="3" t="inlineStr">
        <is>
          <t xml:space="preserve">SHELL_Small</t>
        </is>
      </c>
      <c r="B2" s="3" t="inlineStr">
        <is>
          <t xml:space="preserve">AquaTechnics shell, small class (under 26 ft long)</t>
        </is>
      </c>
      <c r="C2" s="3" t="inlineStr">
        <is>
          <t xml:space="preserve">each</t>
        </is>
      </c>
      <c r="D2" s="8">
        <v>10000</v>
      </c>
      <c r="E2" s="8">
        <v>15000</v>
      </c>
      <c r="F2" s="8">
        <v>20000</v>
      </c>
      <c r="G2" s="3" t="inlineStr">
        <is>
          <t xml:space="preserve">ASSUMED</t>
        </is>
      </c>
      <c r="H2" s="3" t="inlineStr">
        <is>
          <t xml:space="preserve">S5: shell-alone retail band $10,000 to $20,000. NOT the AquaTechnics dealer price. Replace with your dealer price sheet.</t>
        </is>
      </c>
      <c r="I2" s="3" t="inlineStr">
        <is>
          <t xml:space="preserve">2026-10-18</t>
        </is>
      </c>
    </row>
    <row r="3">
      <c r="A3" s="3" t="inlineStr">
        <is>
          <t xml:space="preserve">SHELL_Medium</t>
        </is>
      </c>
      <c r="B3" s="3" t="inlineStr">
        <is>
          <t xml:space="preserve">AquaTechnics shell, medium class (26 to under 35 ft)</t>
        </is>
      </c>
      <c r="C3" s="3" t="inlineStr">
        <is>
          <t xml:space="preserve">each</t>
        </is>
      </c>
      <c r="D3" s="8">
        <v>20000</v>
      </c>
      <c r="E3" s="8">
        <v>25000</v>
      </c>
      <c r="F3" s="8">
        <v>30000</v>
      </c>
      <c r="G3" s="3" t="inlineStr">
        <is>
          <t xml:space="preserve">ASSUMED</t>
        </is>
      </c>
      <c r="H3" s="3" t="inlineStr">
        <is>
          <t xml:space="preserve">S5: band $20,000 to $30,000. Replace with your dealer price sheet.</t>
        </is>
      </c>
      <c r="I3" s="3" t="inlineStr">
        <is>
          <t xml:space="preserve">2026-10-18</t>
        </is>
      </c>
    </row>
    <row r="4">
      <c r="A4" s="3" t="inlineStr">
        <is>
          <t xml:space="preserve">SHELL_Large</t>
        </is>
      </c>
      <c r="B4" s="3" t="inlineStr">
        <is>
          <t xml:space="preserve">AquaTechnics shell, large class (35 ft and longer)</t>
        </is>
      </c>
      <c r="C4" s="3" t="inlineStr">
        <is>
          <t xml:space="preserve">each</t>
        </is>
      </c>
      <c r="D4" s="8">
        <v>30000</v>
      </c>
      <c r="E4" s="8">
        <v>35000</v>
      </c>
      <c r="F4" s="8">
        <v>40000</v>
      </c>
      <c r="G4" s="3" t="inlineStr">
        <is>
          <t xml:space="preserve">ASSUMED</t>
        </is>
      </c>
      <c r="H4" s="3" t="inlineStr">
        <is>
          <t xml:space="preserve">S5: band $30,000 to $40,000. Replace with your dealer price sheet.</t>
        </is>
      </c>
      <c r="I4" s="3" t="inlineStr">
        <is>
          <t xml:space="preserve">2026-10-18</t>
        </is>
      </c>
    </row>
    <row r="5">
      <c r="A5" s="3" t="inlineStr">
        <is>
          <t xml:space="preserve">FREIGHT</t>
        </is>
      </c>
      <c r="B5" s="3" t="inlineStr">
        <is>
          <t xml:space="preserve">Shell freight to the DFW site</t>
        </is>
      </c>
      <c r="C5" s="3" t="inlineStr">
        <is>
          <t xml:space="preserve">each</t>
        </is>
      </c>
      <c r="D5" s="8">
        <v>2000</v>
      </c>
      <c r="E5" s="8">
        <v>3500</v>
      </c>
      <c r="F5" s="8">
        <v>5000</v>
      </c>
      <c r="G5" s="3" t="inlineStr">
        <is>
          <t xml:space="preserve">MIXED</t>
        </is>
      </c>
      <c r="H5" s="3" t="inlineStr">
        <is>
          <t xml:space="preserve">S5: shipping $2,000 to $5,000 or more. Likely is assumed. Origin matters: Opp, Alabama plant (S17) or Australia.</t>
        </is>
      </c>
      <c r="I5" s="3" t="inlineStr">
        <is>
          <t xml:space="preserve">2026-10-18</t>
        </is>
      </c>
    </row>
    <row r="6">
      <c r="A6" s="3" t="inlineStr">
        <is>
          <t xml:space="preserve">CRANE_Open</t>
        </is>
      </c>
      <c r="B6" s="3" t="inlineStr">
        <is>
          <t xml:space="preserve">Crane set, standard lift, clear street access</t>
        </is>
      </c>
      <c r="C6" s="3" t="inlineStr">
        <is>
          <t xml:space="preserve">each</t>
        </is>
      </c>
      <c r="D6" s="8">
        <v>2000</v>
      </c>
      <c r="E6" s="8">
        <v>2500</v>
      </c>
      <c r="F6" s="8">
        <v>3000</v>
      </c>
      <c r="G6" s="3" t="inlineStr">
        <is>
          <t xml:space="preserve">VERIFIED</t>
        </is>
      </c>
      <c r="H6" s="3" t="inlineStr">
        <is>
          <t xml:space="preserve">S6: $2,000 to $3,000 for a standard residential lift (4-hour minimum, portal to portal).</t>
        </is>
      </c>
      <c r="I6" s="3" t="inlineStr">
        <is>
          <t xml:space="preserve">2026-10-18</t>
        </is>
      </c>
    </row>
    <row r="7">
      <c r="A7" s="3" t="inlineStr">
        <is>
          <t xml:space="preserve">CRANE_Restricted</t>
        </is>
      </c>
      <c r="B7" s="3" t="inlineStr">
        <is>
          <t xml:space="preserve">Crane set, long reach or tight side yard</t>
        </is>
      </c>
      <c r="C7" s="3" t="inlineStr">
        <is>
          <t xml:space="preserve">each</t>
        </is>
      </c>
      <c r="D7" s="8">
        <v>2500</v>
      </c>
      <c r="E7" s="8">
        <v>3500</v>
      </c>
      <c r="F7" s="8">
        <v>4500</v>
      </c>
      <c r="G7" s="3" t="inlineStr">
        <is>
          <t xml:space="preserve">ASSUMED</t>
        </is>
      </c>
      <c r="H7" s="3" t="inlineStr">
        <is>
          <t xml:space="preserve">Between S6 standard and over-house figures. Get a site-walk quote; S6: 60 to 90 ton crane $250 to $450 per hour.</t>
        </is>
      </c>
      <c r="I7" s="3" t="inlineStr">
        <is>
          <t xml:space="preserve">2026-10-18</t>
        </is>
      </c>
    </row>
    <row r="8">
      <c r="A8" s="3" t="inlineStr">
        <is>
          <t xml:space="preserve">CRANE_Over-house</t>
        </is>
      </c>
      <c r="B8" s="3" t="inlineStr">
        <is>
          <t xml:space="preserve">Crane set, lift over the house</t>
        </is>
      </c>
      <c r="C8" s="3" t="inlineStr">
        <is>
          <t xml:space="preserve">each</t>
        </is>
      </c>
      <c r="D8" s="8">
        <v>4000</v>
      </c>
      <c r="E8" s="8">
        <v>6000</v>
      </c>
      <c r="F8" s="8">
        <v>8000</v>
      </c>
      <c r="G8" s="3" t="inlineStr">
        <is>
          <t xml:space="preserve">VERIFIED</t>
        </is>
      </c>
      <c r="H8" s="3" t="inlineStr">
        <is>
          <t xml:space="preserve">S6: $4,000 to $8,000 or more. Likely is the midpoint.</t>
        </is>
      </c>
      <c r="I8" s="3" t="inlineStr">
        <is>
          <t xml:space="preserve">2026-10-18</t>
        </is>
      </c>
    </row>
    <row r="9">
      <c r="A9" s="3" t="inlineStr">
        <is>
          <t xml:space="preserve">EXC_DAY</t>
        </is>
      </c>
      <c r="B9" s="3" t="inlineStr">
        <is>
          <t xml:space="preserve">Excavator with operator</t>
        </is>
      </c>
      <c r="C9" s="3" t="inlineStr">
        <is>
          <t xml:space="preserve">day</t>
        </is>
      </c>
      <c r="D9" s="8">
        <v>1200</v>
      </c>
      <c r="E9" s="8">
        <v>1600</v>
      </c>
      <c r="F9" s="8">
        <v>2200</v>
      </c>
      <c r="G9" s="3" t="inlineStr">
        <is>
          <t xml:space="preserve">ASSUMED</t>
        </is>
      </c>
      <c r="H9" s="3" t="inlineStr">
        <is>
          <t xml:space="preserve">No DFW dig-sub day rate read on a primary page. Replace with your excavation sub's rate.</t>
        </is>
      </c>
      <c r="I9" s="3" t="inlineStr">
        <is>
          <t xml:space="preserve"/>
        </is>
      </c>
    </row>
    <row r="10">
      <c r="A10" s="3" t="inlineStr">
        <is>
          <t xml:space="preserve">EXCDAYS_Small</t>
        </is>
      </c>
      <c r="B10" s="3" t="inlineStr">
        <is>
          <t xml:space="preserve">Dig days, small class</t>
        </is>
      </c>
      <c r="C10" s="3" t="inlineStr">
        <is>
          <t xml:space="preserve">days</t>
        </is>
      </c>
      <c r="D10" s="7">
        <v>1</v>
      </c>
      <c r="E10" s="7">
        <v>1</v>
      </c>
      <c r="F10" s="7">
        <v>1.5</v>
      </c>
      <c r="G10" s="3" t="inlineStr">
        <is>
          <t xml:space="preserve">ASSUMED</t>
        </is>
      </c>
      <c r="H10" s="3" t="inlineStr">
        <is>
          <t xml:space="preserve">Estimator judgment; replace with your crew's record.</t>
        </is>
      </c>
      <c r="I10" s="3" t="inlineStr">
        <is>
          <t xml:space="preserve"/>
        </is>
      </c>
    </row>
    <row r="11">
      <c r="A11" s="3" t="inlineStr">
        <is>
          <t xml:space="preserve">EXCDAYS_Medium</t>
        </is>
      </c>
      <c r="B11" s="3" t="inlineStr">
        <is>
          <t xml:space="preserve">Dig days, medium class</t>
        </is>
      </c>
      <c r="C11" s="3" t="inlineStr">
        <is>
          <t xml:space="preserve">days</t>
        </is>
      </c>
      <c r="D11" s="7">
        <v>1</v>
      </c>
      <c r="E11" s="7">
        <v>1.5</v>
      </c>
      <c r="F11" s="7">
        <v>2</v>
      </c>
      <c r="G11" s="3" t="inlineStr">
        <is>
          <t xml:space="preserve">ASSUMED</t>
        </is>
      </c>
      <c r="H11" s="3" t="inlineStr">
        <is>
          <t xml:space="preserve">Estimator judgment.</t>
        </is>
      </c>
      <c r="I11" s="3" t="inlineStr">
        <is>
          <t xml:space="preserve"/>
        </is>
      </c>
    </row>
    <row r="12">
      <c r="A12" s="3" t="inlineStr">
        <is>
          <t xml:space="preserve">EXCDAYS_Large</t>
        </is>
      </c>
      <c r="B12" s="3" t="inlineStr">
        <is>
          <t xml:space="preserve">Dig days, large class</t>
        </is>
      </c>
      <c r="C12" s="3" t="inlineStr">
        <is>
          <t xml:space="preserve">days</t>
        </is>
      </c>
      <c r="D12" s="7">
        <v>1.5</v>
      </c>
      <c r="E12" s="7">
        <v>2</v>
      </c>
      <c r="F12" s="7">
        <v>2.5</v>
      </c>
      <c r="G12" s="3" t="inlineStr">
        <is>
          <t xml:space="preserve">ASSUMED</t>
        </is>
      </c>
      <c r="H12" s="3" t="inlineStr">
        <is>
          <t xml:space="preserve">Estimator judgment.</t>
        </is>
      </c>
      <c r="I12" s="3" t="inlineStr">
        <is>
          <t xml:space="preserve"/>
        </is>
      </c>
    </row>
    <row r="13">
      <c r="A13" s="3" t="inlineStr">
        <is>
          <t xml:space="preserve">OVERDIG_SIDE</t>
        </is>
      </c>
      <c r="B13" s="3" t="inlineStr">
        <is>
          <t xml:space="preserve">Over-dig beyond the shell, each side</t>
        </is>
      </c>
      <c r="C13" s="3" t="inlineStr">
        <is>
          <t xml:space="preserve">ft</t>
        </is>
      </c>
      <c r="D13" s="7">
        <v>1</v>
      </c>
      <c r="E13" s="7">
        <v>1</v>
      </c>
      <c r="F13" s="7">
        <v>1.5</v>
      </c>
      <c r="G13" s="3" t="inlineStr">
        <is>
          <t xml:space="preserve">ASSUMED</t>
        </is>
      </c>
      <c r="H13" s="3" t="inlineStr">
        <is>
          <t xml:space="preserve">Set to the AquaTechnics installation guide once you hold it.</t>
        </is>
      </c>
      <c r="I13" s="3" t="inlineStr">
        <is>
          <t xml:space="preserve"/>
        </is>
      </c>
    </row>
    <row r="14">
      <c r="A14" s="3" t="inlineStr">
        <is>
          <t xml:space="preserve">OVERDIG_DEPTH</t>
        </is>
      </c>
      <c r="B14" s="3" t="inlineStr">
        <is>
          <t xml:space="preserve">Over-dig below the shell for the stone base</t>
        </is>
      </c>
      <c r="C14" s="3" t="inlineStr">
        <is>
          <t xml:space="preserve">ft</t>
        </is>
      </c>
      <c r="D14" s="7">
        <v>0.5</v>
      </c>
      <c r="E14" s="7">
        <v>0.5</v>
      </c>
      <c r="F14" s="7">
        <v>0.67</v>
      </c>
      <c r="G14" s="3" t="inlineStr">
        <is>
          <t xml:space="preserve">ASSUMED</t>
        </is>
      </c>
      <c r="H14" s="3" t="inlineStr">
        <is>
          <t xml:space="preserve">Set to the AquaTechnics installation guide.</t>
        </is>
      </c>
      <c r="I14" s="3" t="inlineStr">
        <is>
          <t xml:space="preserve"/>
        </is>
      </c>
    </row>
    <row r="15">
      <c r="A15" s="3" t="inlineStr">
        <is>
          <t xml:space="preserve">SWELL</t>
        </is>
      </c>
      <c r="B15" s="3" t="inlineStr">
        <is>
          <t xml:space="preserve">Swell, bank to loose</t>
        </is>
      </c>
      <c r="C15" s="3" t="inlineStr">
        <is>
          <t xml:space="preserve">factor</t>
        </is>
      </c>
      <c r="D15" s="7">
        <v>1.1</v>
      </c>
      <c r="E15" s="7">
        <v>1.2</v>
      </c>
      <c r="F15" s="7">
        <v>1.3</v>
      </c>
      <c r="G15" s="3" t="inlineStr">
        <is>
          <t xml:space="preserve">VERIFIED</t>
        </is>
      </c>
      <c r="H15" s="3" t="inlineStr">
        <is>
          <t xml:space="preserve">S7: excavated soil swells 10 to 30 percent.</t>
        </is>
      </c>
      <c r="I15" s="3" t="inlineStr">
        <is>
          <t xml:space="preserve">2026-10-18</t>
        </is>
      </c>
    </row>
    <row r="16">
      <c r="A16" s="3" t="inlineStr">
        <is>
          <t xml:space="preserve">TRUCK_CY</t>
        </is>
      </c>
      <c r="B16" s="3" t="inlineStr">
        <is>
          <t xml:space="preserve">Tandem dump truck capacity (low column uses the bigger truck)</t>
        </is>
      </c>
      <c r="C16" s="3" t="inlineStr">
        <is>
          <t xml:space="preserve">cy/load</t>
        </is>
      </c>
      <c r="D16" s="7">
        <v>14</v>
      </c>
      <c r="E16" s="7">
        <v>13</v>
      </c>
      <c r="F16" s="7">
        <v>12</v>
      </c>
      <c r="G16" s="3" t="inlineStr">
        <is>
          <t xml:space="preserve">VERIFIED</t>
        </is>
      </c>
      <c r="H16" s="3" t="inlineStr">
        <is>
          <t xml:space="preserve">S7: 12 to 14 cy per tandem load.</t>
        </is>
      </c>
      <c r="I16" s="3" t="inlineStr">
        <is>
          <t xml:space="preserve">2026-10-18</t>
        </is>
      </c>
    </row>
    <row r="17">
      <c r="A17" s="3" t="inlineStr">
        <is>
          <t xml:space="preserve">HAUL_LOAD</t>
        </is>
      </c>
      <c r="B17" s="3" t="inlineStr">
        <is>
          <t xml:space="preserve">Spoil haul, per tandem load within 20 miles</t>
        </is>
      </c>
      <c r="C17" s="3" t="inlineStr">
        <is>
          <t xml:space="preserve">load</t>
        </is>
      </c>
      <c r="D17" s="8">
        <v>65</v>
      </c>
      <c r="E17" s="8">
        <v>80</v>
      </c>
      <c r="F17" s="8">
        <v>95</v>
      </c>
      <c r="G17" s="3" t="inlineStr">
        <is>
          <t xml:space="preserve">VERIFIED</t>
        </is>
      </c>
      <c r="H17" s="3" t="inlineStr">
        <is>
          <t xml:space="preserve">S7: $65 to $95 per load, Dallas 2026.</t>
        </is>
      </c>
      <c r="I17" s="3" t="inlineStr">
        <is>
          <t xml:space="preserve">2026-10-18</t>
        </is>
      </c>
    </row>
    <row r="18">
      <c r="A18" s="3" t="inlineStr">
        <is>
          <t xml:space="preserve">SOIL_TONS_PER_CY</t>
        </is>
      </c>
      <c r="B18" s="3" t="inlineStr">
        <is>
          <t xml:space="preserve">Blackland clay weight</t>
        </is>
      </c>
      <c r="C18" s="3" t="inlineStr">
        <is>
          <t xml:space="preserve">tons/cy</t>
        </is>
      </c>
      <c r="D18" s="7">
        <v>1.35</v>
      </c>
      <c r="E18" s="7">
        <v>1.45</v>
      </c>
      <c r="F18" s="7">
        <v>1.55</v>
      </c>
      <c r="G18" s="3" t="inlineStr">
        <is>
          <t xml:space="preserve">VERIFIED</t>
        </is>
      </c>
      <c r="H18" s="3" t="inlineStr">
        <is>
          <t xml:space="preserve">S7: 100 to 115 lb per cubic foot, converted to tons per bank cubic yard.</t>
        </is>
      </c>
      <c r="I18" s="3" t="inlineStr">
        <is>
          <t xml:space="preserve">2026-10-18</t>
        </is>
      </c>
    </row>
    <row r="19">
      <c r="A19" s="3" t="inlineStr">
        <is>
          <t xml:space="preserve">TIP_TON</t>
        </is>
      </c>
      <c r="B19" s="3" t="inlineStr">
        <is>
          <t xml:space="preserve">Tipping, clean fill at a licensed C&amp;D landfill</t>
        </is>
      </c>
      <c r="C19" s="3" t="inlineStr">
        <is>
          <t xml:space="preserve">ton</t>
        </is>
      </c>
      <c r="D19" s="8">
        <v>8</v>
      </c>
      <c r="E19" s="8">
        <v>15</v>
      </c>
      <c r="F19" s="8">
        <v>22</v>
      </c>
      <c r="G19" s="3" t="inlineStr">
        <is>
          <t xml:space="preserve">VERIFIED</t>
        </is>
      </c>
      <c r="H19" s="3" t="inlineStr">
        <is>
          <t xml:space="preserve">S7: $8 to $22 per ton. A private fill site can take clean spoil free; set Low to 0 when you have one.</t>
        </is>
      </c>
      <c r="I19" s="3" t="inlineStr">
        <is>
          <t xml:space="preserve">2026-10-18</t>
        </is>
      </c>
    </row>
    <row r="20">
      <c r="A20" s="3" t="inlineStr">
        <is>
          <t xml:space="preserve">STONE_TON</t>
        </is>
      </c>
      <c r="B20" s="3" t="inlineStr">
        <is>
          <t xml:space="preserve">#57 clean limestone, delivered</t>
        </is>
      </c>
      <c r="C20" s="3" t="inlineStr">
        <is>
          <t xml:space="preserve">ton</t>
        </is>
      </c>
      <c r="D20" s="8">
        <v>35</v>
      </c>
      <c r="E20" s="8">
        <v>45</v>
      </c>
      <c r="F20" s="8">
        <v>60</v>
      </c>
      <c r="G20" s="3" t="inlineStr">
        <is>
          <t xml:space="preserve">MIXED</t>
        </is>
      </c>
      <c r="H20" s="3" t="inlineStr">
        <is>
          <t xml:space="preserve">S8: $29.70 to $52.65 per ton plus delivery, Dallas-area suppliers. The delivery share is assumed.</t>
        </is>
      </c>
      <c r="I20" s="3" t="inlineStr">
        <is>
          <t xml:space="preserve">2026-10-18</t>
        </is>
      </c>
    </row>
    <row r="21">
      <c r="A21" s="3" t="inlineStr">
        <is>
          <t xml:space="preserve">STONE_TONS_PER_CY</t>
        </is>
      </c>
      <c r="B21" s="3" t="inlineStr">
        <is>
          <t xml:space="preserve">Crushed stone weight</t>
        </is>
      </c>
      <c r="C21" s="3" t="inlineStr">
        <is>
          <t xml:space="preserve">tons/cy</t>
        </is>
      </c>
      <c r="D21" s="7">
        <v>1.35</v>
      </c>
      <c r="E21" s="7">
        <v>1.4</v>
      </c>
      <c r="F21" s="7">
        <v>1.5</v>
      </c>
      <c r="G21" s="3" t="inlineStr">
        <is>
          <t xml:space="preserve">ASSUMED</t>
        </is>
      </c>
      <c r="H21" s="3" t="inlineStr">
        <is>
          <t xml:space="preserve">Typical for clean crushed stone; confirm on your quarry ticket.</t>
        </is>
      </c>
      <c r="I21" s="3" t="inlineStr">
        <is>
          <t xml:space="preserve"/>
        </is>
      </c>
    </row>
    <row r="22">
      <c r="A22" s="3" t="inlineStr">
        <is>
          <t xml:space="preserve">SET_Small</t>
        </is>
      </c>
      <c r="B22" s="3" t="inlineStr">
        <is>
          <t xml:space="preserve">Set, level, water-balance and backfill crew, small</t>
        </is>
      </c>
      <c r="C22" s="3" t="inlineStr">
        <is>
          <t xml:space="preserve">job</t>
        </is>
      </c>
      <c r="D22" s="8">
        <v>2500</v>
      </c>
      <c r="E22" s="8">
        <v>3500</v>
      </c>
      <c r="F22" s="8">
        <v>4500</v>
      </c>
      <c r="G22" s="3" t="inlineStr">
        <is>
          <t xml:space="preserve">ASSUMED</t>
        </is>
      </c>
      <c r="H22" s="3" t="inlineStr">
        <is>
          <t xml:space="preserve">Estimator judgment; replace with your crew cost.</t>
        </is>
      </c>
      <c r="I22" s="3" t="inlineStr">
        <is>
          <t xml:space="preserve"/>
        </is>
      </c>
    </row>
    <row r="23">
      <c r="A23" s="3" t="inlineStr">
        <is>
          <t xml:space="preserve">SET_Medium</t>
        </is>
      </c>
      <c r="B23" s="3" t="inlineStr">
        <is>
          <t xml:space="preserve">Set, level, water-balance and backfill crew, medium</t>
        </is>
      </c>
      <c r="C23" s="3" t="inlineStr">
        <is>
          <t xml:space="preserve">job</t>
        </is>
      </c>
      <c r="D23" s="8">
        <v>3000</v>
      </c>
      <c r="E23" s="8">
        <v>4000</v>
      </c>
      <c r="F23" s="8">
        <v>5500</v>
      </c>
      <c r="G23" s="3" t="inlineStr">
        <is>
          <t xml:space="preserve">ASSUMED</t>
        </is>
      </c>
      <c r="H23" s="3" t="inlineStr">
        <is>
          <t xml:space="preserve">Estimator judgment.</t>
        </is>
      </c>
      <c r="I23" s="3" t="inlineStr">
        <is>
          <t xml:space="preserve"/>
        </is>
      </c>
    </row>
    <row r="24">
      <c r="A24" s="3" t="inlineStr">
        <is>
          <t xml:space="preserve">SET_Large</t>
        </is>
      </c>
      <c r="B24" s="3" t="inlineStr">
        <is>
          <t xml:space="preserve">Set, level, water-balance and backfill crew, large</t>
        </is>
      </c>
      <c r="C24" s="3" t="inlineStr">
        <is>
          <t xml:space="preserve">job</t>
        </is>
      </c>
      <c r="D24" s="8">
        <v>3500</v>
      </c>
      <c r="E24" s="8">
        <v>5000</v>
      </c>
      <c r="F24" s="8">
        <v>6500</v>
      </c>
      <c r="G24" s="3" t="inlineStr">
        <is>
          <t xml:space="preserve">ASSUMED</t>
        </is>
      </c>
      <c r="H24" s="3" t="inlineStr">
        <is>
          <t xml:space="preserve">Estimator judgment.</t>
        </is>
      </c>
      <c r="I24" s="3" t="inlineStr">
        <is>
          <t xml:space="preserve"/>
        </is>
      </c>
    </row>
    <row r="25">
      <c r="A25" s="3" t="inlineStr">
        <is>
          <t xml:space="preserve">SOIL_Clay</t>
        </is>
      </c>
      <c r="B25" s="3" t="inlineStr">
        <is>
          <t xml:space="preserve">Clay handling on a standard DFW dig</t>
        </is>
      </c>
      <c r="C25" s="3" t="inlineStr">
        <is>
          <t xml:space="preserve">job</t>
        </is>
      </c>
      <c r="D25" s="8">
        <v>500</v>
      </c>
      <c r="E25" s="8">
        <v>722</v>
      </c>
      <c r="F25" s="8">
        <v>1500</v>
      </c>
      <c r="G25" s="3" t="inlineStr">
        <is>
          <t xml:space="preserve">MIXED</t>
        </is>
      </c>
      <c r="H25" s="3" t="inlineStr">
        <is>
          <t xml:space="preserve">S2: Texas clay excavation upcharge averages $722. Ends assumed.</t>
        </is>
      </c>
      <c r="I25" s="3" t="inlineStr">
        <is>
          <t xml:space="preserve">2026-10-18</t>
        </is>
      </c>
    </row>
    <row r="26">
      <c r="A26" s="3" t="inlineStr">
        <is>
          <t xml:space="preserve">SOIL_Engineered clay</t>
        </is>
      </c>
      <c r="B26" s="3" t="inlineStr">
        <is>
          <t xml:space="preserve">Engineer-specified clay mitigation</t>
        </is>
      </c>
      <c r="C26" s="3" t="inlineStr">
        <is>
          <t xml:space="preserve">job</t>
        </is>
      </c>
      <c r="D26" s="8">
        <v>5000</v>
      </c>
      <c r="E26" s="8">
        <v>10000</v>
      </c>
      <c r="F26" s="8">
        <v>30000</v>
      </c>
      <c r="G26" s="3" t="inlineStr">
        <is>
          <t xml:space="preserve">MIXED</t>
        </is>
      </c>
      <c r="H26" s="3" t="inlineStr">
        <is>
          <t xml:space="preserve">S3: $5,000 to $30,000 or more in DFW clay, all pool types. Likely assumed.</t>
        </is>
      </c>
      <c r="I26" s="3" t="inlineStr">
        <is>
          <t xml:space="preserve">2026-10-18</t>
        </is>
      </c>
    </row>
    <row r="27">
      <c r="A27" s="3" t="inlineStr">
        <is>
          <t xml:space="preserve">SOIL_Rock</t>
        </is>
      </c>
      <c r="B27" s="3" t="inlineStr">
        <is>
          <t xml:space="preserve">Rock removal</t>
        </is>
      </c>
      <c r="C27" s="3" t="inlineStr">
        <is>
          <t xml:space="preserve">job</t>
        </is>
      </c>
      <c r="D27" s="8">
        <v>2000</v>
      </c>
      <c r="E27" s="8">
        <v>5000</v>
      </c>
      <c r="F27" s="8">
        <v>10000</v>
      </c>
      <c r="G27" s="3" t="inlineStr">
        <is>
          <t xml:space="preserve">VERIFIED</t>
        </is>
      </c>
      <c r="H27" s="3" t="inlineStr">
        <is>
          <t xml:space="preserve">S3: $2,000 to $10,000. S2: Texas rocky-soil average $5,000.</t>
        </is>
      </c>
      <c r="I27" s="3" t="inlineStr">
        <is>
          <t xml:space="preserve">2026-10-18</t>
        </is>
      </c>
    </row>
    <row r="28">
      <c r="A28" s="3" t="inlineStr">
        <is>
          <t xml:space="preserve">GEOTECH</t>
        </is>
      </c>
      <c r="B28" s="3" t="inlineStr">
        <is>
          <t xml:space="preserve">Geotechnical soil report (every DFW job)</t>
        </is>
      </c>
      <c r="C28" s="3" t="inlineStr">
        <is>
          <t xml:space="preserve">job</t>
        </is>
      </c>
      <c r="D28" s="8">
        <v>500</v>
      </c>
      <c r="E28" s="8">
        <v>1000</v>
      </c>
      <c r="F28" s="8">
        <v>1500</v>
      </c>
      <c r="G28" s="3" t="inlineStr">
        <is>
          <t xml:space="preserve">VERIFIED</t>
        </is>
      </c>
      <c r="H28" s="3" t="inlineStr">
        <is>
          <t xml:space="preserve">S3: $500 to $1,500.</t>
        </is>
      </c>
      <c r="I28" s="3" t="inlineStr">
        <is>
          <t xml:space="preserve">2026-10-18</t>
        </is>
      </c>
    </row>
    <row r="29">
      <c r="A29" s="3" t="inlineStr">
        <is>
          <t xml:space="preserve">SLOPE_Level</t>
        </is>
      </c>
      <c r="B29" s="3" t="inlineStr">
        <is>
          <t xml:space="preserve">Level lot</t>
        </is>
      </c>
      <c r="C29" s="3" t="inlineStr">
        <is>
          <t xml:space="preserve">job</t>
        </is>
      </c>
      <c r="D29" s="8">
        <v>0</v>
      </c>
      <c r="E29" s="8">
        <v>0</v>
      </c>
      <c r="F29" s="8">
        <v>0</v>
      </c>
      <c r="G29" s="3" t="inlineStr">
        <is>
          <t xml:space="preserve"/>
        </is>
      </c>
      <c r="H29" s="3" t="inlineStr">
        <is>
          <t xml:space="preserve">No adder.</t>
        </is>
      </c>
      <c r="I29" s="3" t="inlineStr">
        <is>
          <t xml:space="preserve"/>
        </is>
      </c>
    </row>
    <row r="30">
      <c r="A30" s="3" t="inlineStr">
        <is>
          <t xml:space="preserve">SLOPE_Moderate</t>
        </is>
      </c>
      <c r="B30" s="3" t="inlineStr">
        <is>
          <t xml:space="preserve">Extra grading for a moderate slope</t>
        </is>
      </c>
      <c r="C30" s="3" t="inlineStr">
        <is>
          <t xml:space="preserve">job</t>
        </is>
      </c>
      <c r="D30" s="8">
        <v>1000</v>
      </c>
      <c r="E30" s="8">
        <v>2000</v>
      </c>
      <c r="F30" s="8">
        <v>4000</v>
      </c>
      <c r="G30" s="3" t="inlineStr">
        <is>
          <t xml:space="preserve">MIXED</t>
        </is>
      </c>
      <c r="H30" s="3" t="inlineStr">
        <is>
          <t xml:space="preserve">S2: Texas average $2,000. Ends assumed.</t>
        </is>
      </c>
      <c r="I30" s="3" t="inlineStr">
        <is>
          <t xml:space="preserve">2026-10-18</t>
        </is>
      </c>
    </row>
    <row r="31">
      <c r="A31" s="3" t="inlineStr">
        <is>
          <t xml:space="preserve">SLOPE_Retaining wall</t>
        </is>
      </c>
      <c r="B31" s="3" t="inlineStr">
        <is>
          <t xml:space="preserve">Retaining wall</t>
        </is>
      </c>
      <c r="C31" s="3" t="inlineStr">
        <is>
          <t xml:space="preserve">job</t>
        </is>
      </c>
      <c r="D31" s="8">
        <v>7500</v>
      </c>
      <c r="E31" s="8">
        <v>12000</v>
      </c>
      <c r="F31" s="8">
        <v>20000</v>
      </c>
      <c r="G31" s="3" t="inlineStr">
        <is>
          <t xml:space="preserve">MIXED</t>
        </is>
      </c>
      <c r="H31" s="3" t="inlineStr">
        <is>
          <t xml:space="preserve">S4: most $7,500 to $20,000, larger walls $35,000 or more. Likely assumed.</t>
        </is>
      </c>
      <c r="I31" s="3" t="inlineStr">
        <is>
          <t xml:space="preserve">2026-10-18</t>
        </is>
      </c>
    </row>
    <row r="32">
      <c r="A32" s="3" t="inlineStr">
        <is>
          <t xml:space="preserve">ACCESS_Open</t>
        </is>
      </c>
      <c r="B32" s="3" t="inlineStr">
        <is>
          <t xml:space="preserve">Open access</t>
        </is>
      </c>
      <c r="C32" s="3" t="inlineStr">
        <is>
          <t xml:space="preserve">job</t>
        </is>
      </c>
      <c r="D32" s="8">
        <v>0</v>
      </c>
      <c r="E32" s="8">
        <v>0</v>
      </c>
      <c r="F32" s="8">
        <v>0</v>
      </c>
      <c r="G32" s="3" t="inlineStr">
        <is>
          <t xml:space="preserve"/>
        </is>
      </c>
      <c r="H32" s="3" t="inlineStr">
        <is>
          <t xml:space="preserve">No adder.</t>
        </is>
      </c>
      <c r="I32" s="3" t="inlineStr">
        <is>
          <t xml:space="preserve"/>
        </is>
      </c>
    </row>
    <row r="33">
      <c r="A33" s="3" t="inlineStr">
        <is>
          <t xml:space="preserve">ACCESS_Restricted</t>
        </is>
      </c>
      <c r="B33" s="3" t="inlineStr">
        <is>
          <t xml:space="preserve">Limited access: narrow gate, small machines</t>
        </is>
      </c>
      <c r="C33" s="3" t="inlineStr">
        <is>
          <t xml:space="preserve">job</t>
        </is>
      </c>
      <c r="D33" s="8">
        <v>2000</v>
      </c>
      <c r="E33" s="8">
        <v>3500</v>
      </c>
      <c r="F33" s="8">
        <v>5000</v>
      </c>
      <c r="G33" s="3" t="inlineStr">
        <is>
          <t xml:space="preserve">MIXED</t>
        </is>
      </c>
      <c r="H33" s="3" t="inlineStr">
        <is>
          <t xml:space="preserve">S2: Texas limited-access average $3,500. Ends assumed.</t>
        </is>
      </c>
      <c r="I33" s="3" t="inlineStr">
        <is>
          <t xml:space="preserve">2026-10-18</t>
        </is>
      </c>
    </row>
    <row r="34">
      <c r="A34" s="3" t="inlineStr">
        <is>
          <t xml:space="preserve">ACCESS_Over-house</t>
        </is>
      </c>
      <c r="B34" s="3" t="inlineStr">
        <is>
          <t xml:space="preserve">Access constraints that come with an over-house lift</t>
        </is>
      </c>
      <c r="C34" s="3" t="inlineStr">
        <is>
          <t xml:space="preserve">job</t>
        </is>
      </c>
      <c r="D34" s="8">
        <v>2000</v>
      </c>
      <c r="E34" s="8">
        <v>3500</v>
      </c>
      <c r="F34" s="8">
        <v>5000</v>
      </c>
      <c r="G34" s="3" t="inlineStr">
        <is>
          <t xml:space="preserve">MIXED</t>
        </is>
      </c>
      <c r="H34" s="3" t="inlineStr">
        <is>
          <t xml:space="preserve">S2 figure as above; the crane line carries the lift itself.</t>
        </is>
      </c>
      <c r="I34" s="3" t="inlineStr">
        <is>
          <t xml:space="preserve">2026-10-18</t>
        </is>
      </c>
    </row>
    <row r="35">
      <c r="A35" s="3" t="inlineStr">
        <is>
          <t xml:space="preserve">PLUMB_Small</t>
        </is>
      </c>
      <c r="B35" s="3" t="inlineStr">
        <is>
          <t xml:space="preserve">Plumbing: pipe, fittings, labor, pressure test, small</t>
        </is>
      </c>
      <c r="C35" s="3" t="inlineStr">
        <is>
          <t xml:space="preserve">job</t>
        </is>
      </c>
      <c r="D35" s="8">
        <v>3000</v>
      </c>
      <c r="E35" s="8">
        <v>4000</v>
      </c>
      <c r="F35" s="8">
        <v>5500</v>
      </c>
      <c r="G35" s="3" t="inlineStr">
        <is>
          <t xml:space="preserve">ASSUMED</t>
        </is>
      </c>
      <c r="H35" s="3" t="inlineStr">
        <is>
          <t xml:space="preserve">No primary price read. Replace with your plumbing sub's bid.</t>
        </is>
      </c>
      <c r="I35" s="3" t="inlineStr">
        <is>
          <t xml:space="preserve"/>
        </is>
      </c>
    </row>
    <row r="36">
      <c r="A36" s="3" t="inlineStr">
        <is>
          <t xml:space="preserve">PLUMB_Medium</t>
        </is>
      </c>
      <c r="B36" s="3" t="inlineStr">
        <is>
          <t xml:space="preserve">Plumbing, medium</t>
        </is>
      </c>
      <c r="C36" s="3" t="inlineStr">
        <is>
          <t xml:space="preserve">job</t>
        </is>
      </c>
      <c r="D36" s="8">
        <v>3500</v>
      </c>
      <c r="E36" s="8">
        <v>4500</v>
      </c>
      <c r="F36" s="8">
        <v>6500</v>
      </c>
      <c r="G36" s="3" t="inlineStr">
        <is>
          <t xml:space="preserve">ASSUMED</t>
        </is>
      </c>
      <c r="H36" s="3" t="inlineStr">
        <is>
          <t xml:space="preserve">As above.</t>
        </is>
      </c>
      <c r="I36" s="3" t="inlineStr">
        <is>
          <t xml:space="preserve"/>
        </is>
      </c>
    </row>
    <row r="37">
      <c r="A37" s="3" t="inlineStr">
        <is>
          <t xml:space="preserve">PLUMB_Large</t>
        </is>
      </c>
      <c r="B37" s="3" t="inlineStr">
        <is>
          <t xml:space="preserve">Plumbing, large</t>
        </is>
      </c>
      <c r="C37" s="3" t="inlineStr">
        <is>
          <t xml:space="preserve">job</t>
        </is>
      </c>
      <c r="D37" s="8">
        <v>4000</v>
      </c>
      <c r="E37" s="8">
        <v>5500</v>
      </c>
      <c r="F37" s="8">
        <v>7500</v>
      </c>
      <c r="G37" s="3" t="inlineStr">
        <is>
          <t xml:space="preserve">ASSUMED</t>
        </is>
      </c>
      <c r="H37" s="3" t="inlineStr">
        <is>
          <t xml:space="preserve">As above.</t>
        </is>
      </c>
      <c r="I37" s="3" t="inlineStr">
        <is>
          <t xml:space="preserve"/>
        </is>
      </c>
    </row>
    <row r="38">
      <c r="A38" s="3" t="inlineStr">
        <is>
          <t xml:space="preserve">SPA_PLUMB</t>
        </is>
      </c>
      <c r="B38" s="3" t="inlineStr">
        <is>
          <t xml:space="preserve">Built-in spa plumbing and valves (Resort series)</t>
        </is>
      </c>
      <c r="C38" s="3" t="inlineStr">
        <is>
          <t xml:space="preserve">job</t>
        </is>
      </c>
      <c r="D38" s="8">
        <v>1500</v>
      </c>
      <c r="E38" s="8">
        <v>2500</v>
      </c>
      <c r="F38" s="8">
        <v>4000</v>
      </c>
      <c r="G38" s="3" t="inlineStr">
        <is>
          <t xml:space="preserve">ASSUMED</t>
        </is>
      </c>
      <c r="H38" s="3" t="inlineStr">
        <is>
          <t xml:space="preserve">As above.</t>
        </is>
      </c>
      <c r="I38" s="3" t="inlineStr">
        <is>
          <t xml:space="preserve"/>
        </is>
      </c>
    </row>
    <row r="39">
      <c r="A39" s="3" t="inlineStr">
        <is>
          <t xml:space="preserve">EQUIP_Standard</t>
        </is>
      </c>
      <c r="B39" s="3" t="inlineStr">
        <is>
          <t xml:space="preserve">IntelliFlo3 VSF 3HP + Clean &amp; Clear Plus 420 + IntelliChlor IC20</t>
        </is>
      </c>
      <c r="C39" s="3" t="inlineStr">
        <is>
          <t xml:space="preserve">set</t>
        </is>
      </c>
      <c r="D39" s="8">
        <v>4447</v>
      </c>
      <c r="E39" s="8">
        <v>4600</v>
      </c>
      <c r="F39" s="8">
        <v>4753.45</v>
      </c>
      <c r="G39" s="3" t="inlineStr">
        <is>
          <t xml:space="preserve">VERIFIED</t>
        </is>
      </c>
      <c r="H39" s="3" t="inlineStr">
        <is>
          <t xml:space="preserve">S9 pump $1,699; S10 pump with relay $1,949, filter $1,619, IC20 $1,129 to $1,185.45. Online retail; dealer cost runs lower.</t>
        </is>
      </c>
      <c r="I39" s="3" t="inlineStr">
        <is>
          <t xml:space="preserve">2026-10-18</t>
        </is>
      </c>
    </row>
    <row r="40">
      <c r="A40" s="3" t="inlineStr">
        <is>
          <t xml:space="preserve">EQUIP_Upgraded</t>
        </is>
      </c>
      <c r="B40" s="3" t="inlineStr">
        <is>
          <t xml:space="preserve">IntelliFlo3 VSF 3HP + Clean &amp; Clear Plus 420 + IntelliCenter i5P with salt</t>
        </is>
      </c>
      <c r="C40" s="3" t="inlineStr">
        <is>
          <t xml:space="preserve">set</t>
        </is>
      </c>
      <c r="D40" s="8">
        <v>5517</v>
      </c>
      <c r="E40" s="8">
        <v>5700</v>
      </c>
      <c r="F40" s="8">
        <v>5876.95</v>
      </c>
      <c r="G40" s="3" t="inlineStr">
        <is>
          <t xml:space="preserve">VERIFIED</t>
        </is>
      </c>
      <c r="H40" s="3" t="inlineStr">
        <is>
          <t xml:space="preserve">S9, S10; IntelliCenter i5P with salt $2,199 to $2,308.95. Likely assumed.</t>
        </is>
      </c>
      <c r="I40" s="3" t="inlineStr">
        <is>
          <t xml:space="preserve">2026-10-18</t>
        </is>
      </c>
    </row>
    <row r="41">
      <c r="A41" s="3" t="inlineStr">
        <is>
          <t xml:space="preserve">EQUIP_Premium</t>
        </is>
      </c>
      <c r="B41" s="3" t="inlineStr">
        <is>
          <t xml:space="preserve">IntelliFlo VS 3HP + Clean &amp; Clear Plus 520 + IntelliCenter i10D system with salt</t>
        </is>
      </c>
      <c r="C41" s="3" t="inlineStr">
        <is>
          <t xml:space="preserve">set</t>
        </is>
      </c>
      <c r="D41" s="8">
        <v>9137.05</v>
      </c>
      <c r="E41" s="8">
        <v>9380</v>
      </c>
      <c r="F41" s="8">
        <v>9620.94</v>
      </c>
      <c r="G41" s="3" t="inlineStr">
        <is>
          <t xml:space="preserve">VERIFIED</t>
        </is>
      </c>
      <c r="H41" s="3" t="inlineStr">
        <is>
          <t xml:space="preserve">S10: pump $2,419 to $2,656.49; filter $1,789.99; system $4,928.06 to $5,174.46. Likely assumed.</t>
        </is>
      </c>
      <c r="I41" s="3" t="inlineStr">
        <is>
          <t xml:space="preserve">2026-10-18</t>
        </is>
      </c>
    </row>
    <row r="42">
      <c r="A42" s="3" t="inlineStr">
        <is>
          <t xml:space="preserve">EQUIP_SET</t>
        </is>
      </c>
      <c r="B42" s="3" t="inlineStr">
        <is>
          <t xml:space="preserve">Equipment pad, valves, set and start labor</t>
        </is>
      </c>
      <c r="C42" s="3" t="inlineStr">
        <is>
          <t xml:space="preserve">job</t>
        </is>
      </c>
      <c r="D42" s="8">
        <v>1200</v>
      </c>
      <c r="E42" s="8">
        <v>1800</v>
      </c>
      <c r="F42" s="8">
        <v>2500</v>
      </c>
      <c r="G42" s="3" t="inlineStr">
        <is>
          <t xml:space="preserve">ASSUMED</t>
        </is>
      </c>
      <c r="H42" s="3" t="inlineStr">
        <is>
          <t xml:space="preserve">Estimator judgment.</t>
        </is>
      </c>
      <c r="I42" s="3" t="inlineStr">
        <is>
          <t xml:space="preserve"/>
        </is>
      </c>
    </row>
    <row r="43">
      <c r="A43" s="3" t="inlineStr">
        <is>
          <t xml:space="preserve">HEAT_None</t>
        </is>
      </c>
      <c r="B43" s="3" t="inlineStr">
        <is>
          <t xml:space="preserve">No heater</t>
        </is>
      </c>
      <c r="C43" s="3" t="inlineStr">
        <is>
          <t xml:space="preserve">each</t>
        </is>
      </c>
      <c r="D43" s="8">
        <v>0</v>
      </c>
      <c r="E43" s="8">
        <v>0</v>
      </c>
      <c r="F43" s="8">
        <v>0</v>
      </c>
      <c r="G43" s="3" t="inlineStr">
        <is>
          <t xml:space="preserve"/>
        </is>
      </c>
      <c r="H43" s="3" t="inlineStr">
        <is>
          <t xml:space="preserve">No adder.</t>
        </is>
      </c>
      <c r="I43" s="3" t="inlineStr">
        <is>
          <t xml:space="preserve"/>
        </is>
      </c>
    </row>
    <row r="44">
      <c r="A44" s="3" t="inlineStr">
        <is>
          <t xml:space="preserve">HEAT_Gas</t>
        </is>
      </c>
      <c r="B44" s="3" t="inlineStr">
        <is>
          <t xml:space="preserve">MasterTemp Low NOx 400K BTU heater, natural gas</t>
        </is>
      </c>
      <c r="C44" s="3" t="inlineStr">
        <is>
          <t xml:space="preserve">each</t>
        </is>
      </c>
      <c r="D44" s="8">
        <v>4199</v>
      </c>
      <c r="E44" s="8">
        <v>4199</v>
      </c>
      <c r="F44" s="8">
        <v>4697.7</v>
      </c>
      <c r="G44" s="3" t="inlineStr">
        <is>
          <t xml:space="preserve">VERIFIED</t>
        </is>
      </c>
      <c r="H44" s="3" t="inlineStr">
        <is>
          <t xml:space="preserve">S10: sale $4,199, regular $4,697.70. S2: Texas installed heater average $6,900 as a check.</t>
        </is>
      </c>
      <c r="I44" s="3" t="inlineStr">
        <is>
          <t xml:space="preserve">2026-10-18</t>
        </is>
      </c>
    </row>
    <row r="45">
      <c r="A45" s="3" t="inlineStr">
        <is>
          <t xml:space="preserve">HEAT_Heat pump</t>
        </is>
      </c>
      <c r="B45" s="3" t="inlineStr">
        <is>
          <t xml:space="preserve">UltraTemp 140 heat pump, 145K BTU</t>
        </is>
      </c>
      <c r="C45" s="3" t="inlineStr">
        <is>
          <t xml:space="preserve">each</t>
        </is>
      </c>
      <c r="D45" s="8">
        <v>5699.99</v>
      </c>
      <c r="E45" s="8">
        <v>5799</v>
      </c>
      <c r="F45" s="8">
        <v>6298.95</v>
      </c>
      <c r="G45" s="3" t="inlineStr">
        <is>
          <t xml:space="preserve">VERIFIED</t>
        </is>
      </c>
      <c r="H45" s="3" t="inlineStr">
        <is>
          <t xml:space="preserve">S10: $5,699.99 to $6,298.95.</t>
        </is>
      </c>
      <c r="I45" s="3" t="inlineStr">
        <is>
          <t xml:space="preserve">2026-10-18</t>
        </is>
      </c>
    </row>
    <row r="46">
      <c r="A46" s="3" t="inlineStr">
        <is>
          <t xml:space="preserve">HEAT_INSTALL</t>
        </is>
      </c>
      <c r="B46" s="3" t="inlineStr">
        <is>
          <t xml:space="preserve">Heater set, venting, hookup labor</t>
        </is>
      </c>
      <c r="C46" s="3" t="inlineStr">
        <is>
          <t xml:space="preserve">job</t>
        </is>
      </c>
      <c r="D46" s="8">
        <v>500</v>
      </c>
      <c r="E46" s="8">
        <v>800</v>
      </c>
      <c r="F46" s="8">
        <v>1200</v>
      </c>
      <c r="G46" s="3" t="inlineStr">
        <is>
          <t xml:space="preserve">ASSUMED</t>
        </is>
      </c>
      <c r="H46" s="3" t="inlineStr">
        <is>
          <t xml:space="preserve">Estimator judgment.</t>
        </is>
      </c>
      <c r="I46" s="3" t="inlineStr">
        <is>
          <t xml:space="preserve"/>
        </is>
      </c>
    </row>
    <row r="47">
      <c r="A47" s="3" t="inlineStr">
        <is>
          <t xml:space="preserve">GASLINE</t>
        </is>
      </c>
      <c r="B47" s="3" t="inlineStr">
        <is>
          <t xml:space="preserve">Gas line extension to the equipment pad</t>
        </is>
      </c>
      <c r="C47" s="3" t="inlineStr">
        <is>
          <t xml:space="preserve">job</t>
        </is>
      </c>
      <c r="D47" s="8">
        <v>1000</v>
      </c>
      <c r="E47" s="8">
        <v>2500</v>
      </c>
      <c r="F47" s="8">
        <v>4000</v>
      </c>
      <c r="G47" s="3" t="inlineStr">
        <is>
          <t xml:space="preserve">MIXED</t>
        </is>
      </c>
      <c r="H47" s="3" t="inlineStr">
        <is>
          <t xml:space="preserve">S3: $1,000 to $4,000 or more. Likely assumed.</t>
        </is>
      </c>
      <c r="I47" s="3" t="inlineStr">
        <is>
          <t xml:space="preserve">2026-10-18</t>
        </is>
      </c>
    </row>
    <row r="48">
      <c r="A48" s="3" t="inlineStr">
        <is>
          <t xml:space="preserve">LIGHT</t>
        </is>
      </c>
      <c r="B48" s="3" t="inlineStr">
        <is>
          <t xml:space="preserve">LED pool light, installed</t>
        </is>
      </c>
      <c r="C48" s="3" t="inlineStr">
        <is>
          <t xml:space="preserve">each</t>
        </is>
      </c>
      <c r="D48" s="8">
        <v>600</v>
      </c>
      <c r="E48" s="8">
        <v>1200</v>
      </c>
      <c r="F48" s="8">
        <v>1500</v>
      </c>
      <c r="G48" s="3" t="inlineStr">
        <is>
          <t xml:space="preserve">VERIFIED</t>
        </is>
      </c>
      <c r="H48" s="3" t="inlineStr">
        <is>
          <t xml:space="preserve">S4: $600 to $1,500 each. S2: Texas average $1,200.</t>
        </is>
      </c>
      <c r="I48" s="3" t="inlineStr">
        <is>
          <t xml:space="preserve">2026-10-18</t>
        </is>
      </c>
    </row>
    <row r="49">
      <c r="A49" s="3" t="inlineStr">
        <is>
          <t xml:space="preserve">ELEC</t>
        </is>
      </c>
      <c r="B49" s="3" t="inlineStr">
        <is>
          <t xml:space="preserve">Pool electrical: bonding grid, circuits, GFCI, disconnect</t>
        </is>
      </c>
      <c r="C49" s="3" t="inlineStr">
        <is>
          <t xml:space="preserve">job</t>
        </is>
      </c>
      <c r="D49" s="8">
        <v>3000</v>
      </c>
      <c r="E49" s="8">
        <v>4500</v>
      </c>
      <c r="F49" s="8">
        <v>6500</v>
      </c>
      <c r="G49" s="3" t="inlineStr">
        <is>
          <t xml:space="preserve">ASSUMED</t>
        </is>
      </c>
      <c r="H49" s="3" t="inlineStr">
        <is>
          <t xml:space="preserve">No DFW electrician price read. Get a bid from a TDLR-licensed electrician.</t>
        </is>
      </c>
      <c r="I49" s="3" t="inlineStr">
        <is>
          <t xml:space="preserve"/>
        </is>
      </c>
    </row>
    <row r="50">
      <c r="A50" s="3" t="inlineStr">
        <is>
          <t xml:space="preserve">PANEL</t>
        </is>
      </c>
      <c r="B50" s="3" t="inlineStr">
        <is>
          <t xml:space="preserve">Electrical panel capacity upgrade</t>
        </is>
      </c>
      <c r="C50" s="3" t="inlineStr">
        <is>
          <t xml:space="preserve">job</t>
        </is>
      </c>
      <c r="D50" s="8">
        <v>500</v>
      </c>
      <c r="E50" s="8">
        <v>2500</v>
      </c>
      <c r="F50" s="8">
        <v>5000</v>
      </c>
      <c r="G50" s="3" t="inlineStr">
        <is>
          <t xml:space="preserve">MIXED</t>
        </is>
      </c>
      <c r="H50" s="3" t="inlineStr">
        <is>
          <t xml:space="preserve">S3: $500 to $5,000 or more. Likely assumed.</t>
        </is>
      </c>
      <c r="I50" s="3" t="inlineStr">
        <is>
          <t xml:space="preserve">2026-10-18</t>
        </is>
      </c>
    </row>
    <row r="51">
      <c r="A51" s="3" t="inlineStr">
        <is>
          <t xml:space="preserve">COLLAR</t>
        </is>
      </c>
      <c r="B51" s="3" t="inlineStr">
        <is>
          <t xml:space="preserve">Concrete collar under the coping</t>
        </is>
      </c>
      <c r="C51" s="3" t="inlineStr">
        <is>
          <t xml:space="preserve">LF</t>
        </is>
      </c>
      <c r="D51" s="8">
        <v>20</v>
      </c>
      <c r="E51" s="8">
        <v>30</v>
      </c>
      <c r="F51" s="8">
        <v>45</v>
      </c>
      <c r="G51" s="3" t="inlineStr">
        <is>
          <t xml:space="preserve">ASSUMED</t>
        </is>
      </c>
      <c r="H51" s="3" t="inlineStr">
        <is>
          <t xml:space="preserve">No primary price read. Replace with your flatwork sub's per-foot price.</t>
        </is>
      </c>
      <c r="I51" s="3" t="inlineStr">
        <is>
          <t xml:space="preserve"/>
        </is>
      </c>
    </row>
    <row r="52">
      <c r="A52" s="3" t="inlineStr">
        <is>
          <t xml:space="preserve">COPE_Travertine</t>
        </is>
      </c>
      <c r="B52" s="3" t="inlineStr">
        <is>
          <t xml:space="preserve">Travertine coping, installed</t>
        </is>
      </c>
      <c r="C52" s="3" t="inlineStr">
        <is>
          <t xml:space="preserve">LF</t>
        </is>
      </c>
      <c r="D52" s="8">
        <v>55</v>
      </c>
      <c r="E52" s="8">
        <v>67.5</v>
      </c>
      <c r="F52" s="8">
        <v>80</v>
      </c>
      <c r="G52" s="3" t="inlineStr">
        <is>
          <t xml:space="preserve">VERIFIED</t>
        </is>
      </c>
      <c r="H52" s="3" t="inlineStr">
        <is>
          <t xml:space="preserve">S11: $55 to $80 per LF installed (national guide). Likely is the midpoint.</t>
        </is>
      </c>
      <c r="I52" s="3" t="inlineStr">
        <is>
          <t xml:space="preserve">2026-10-18</t>
        </is>
      </c>
    </row>
    <row r="53">
      <c r="A53" s="3" t="inlineStr">
        <is>
          <t xml:space="preserve">COPE_Limestone</t>
        </is>
      </c>
      <c r="B53" s="3" t="inlineStr">
        <is>
          <t xml:space="preserve">Natural stone (limestone) coping, installed</t>
        </is>
      </c>
      <c r="C53" s="3" t="inlineStr">
        <is>
          <t xml:space="preserve">LF</t>
        </is>
      </c>
      <c r="D53" s="8">
        <v>60</v>
      </c>
      <c r="E53" s="8">
        <v>70</v>
      </c>
      <c r="F53" s="8">
        <v>80</v>
      </c>
      <c r="G53" s="3" t="inlineStr">
        <is>
          <t xml:space="preserve">VERIFIED</t>
        </is>
      </c>
      <c r="H53" s="3" t="inlineStr">
        <is>
          <t xml:space="preserve">S11: natural stone including limestone $60 to $80 per LF. Sawn Lueders or Cordova may run higher: quote it.</t>
        </is>
      </c>
      <c r="I53" s="3" t="inlineStr">
        <is>
          <t xml:space="preserve">2026-10-18</t>
        </is>
      </c>
    </row>
    <row r="54">
      <c r="A54" s="3" t="inlineStr">
        <is>
          <t xml:space="preserve">COPE_Concrete</t>
        </is>
      </c>
      <c r="B54" s="3" t="inlineStr">
        <is>
          <t xml:space="preserve">Concrete coping, installed</t>
        </is>
      </c>
      <c r="C54" s="3" t="inlineStr">
        <is>
          <t xml:space="preserve">LF</t>
        </is>
      </c>
      <c r="D54" s="8">
        <v>40</v>
      </c>
      <c r="E54" s="8">
        <v>47.5</v>
      </c>
      <c r="F54" s="8">
        <v>55</v>
      </c>
      <c r="G54" s="3" t="inlineStr">
        <is>
          <t xml:space="preserve">VERIFIED</t>
        </is>
      </c>
      <c r="H54" s="3" t="inlineStr">
        <is>
          <t xml:space="preserve">S11: $40 to $55 per LF.</t>
        </is>
      </c>
      <c r="I54" s="3" t="inlineStr">
        <is>
          <t xml:space="preserve">2026-10-18</t>
        </is>
      </c>
    </row>
    <row r="55">
      <c r="A55" s="3" t="inlineStr">
        <is>
          <t xml:space="preserve">DECK_Concrete</t>
        </is>
      </c>
      <c r="B55" s="3" t="inlineStr">
        <is>
          <t xml:space="preserve">Brushed concrete deck, installed</t>
        </is>
      </c>
      <c r="C55" s="3" t="inlineStr">
        <is>
          <t xml:space="preserve">sf</t>
        </is>
      </c>
      <c r="D55" s="8">
        <v>8</v>
      </c>
      <c r="E55" s="8">
        <v>11.5</v>
      </c>
      <c r="F55" s="8">
        <v>15</v>
      </c>
      <c r="G55" s="3" t="inlineStr">
        <is>
          <t xml:space="preserve">VERIFIED</t>
        </is>
      </c>
      <c r="H55" s="3" t="inlineStr">
        <is>
          <t xml:space="preserve">S12: DFW $8 to $15 per sf, early 2026.</t>
        </is>
      </c>
      <c r="I55" s="3" t="inlineStr">
        <is>
          <t xml:space="preserve">2026-10-18</t>
        </is>
      </c>
    </row>
    <row r="56">
      <c r="A56" s="3" t="inlineStr">
        <is>
          <t xml:space="preserve">DECK_Concrete pavers</t>
        </is>
      </c>
      <c r="B56" s="3" t="inlineStr">
        <is>
          <t xml:space="preserve">Concrete paver deck, installed</t>
        </is>
      </c>
      <c r="C56" s="3" t="inlineStr">
        <is>
          <t xml:space="preserve">sf</t>
        </is>
      </c>
      <c r="D56" s="8">
        <v>15</v>
      </c>
      <c r="E56" s="8">
        <v>22.5</v>
      </c>
      <c r="F56" s="8">
        <v>30</v>
      </c>
      <c r="G56" s="3" t="inlineStr">
        <is>
          <t xml:space="preserve">VERIFIED</t>
        </is>
      </c>
      <c r="H56" s="3" t="inlineStr">
        <is>
          <t xml:space="preserve">S12: DFW $15 to $30 per sf.</t>
        </is>
      </c>
      <c r="I56" s="3" t="inlineStr">
        <is>
          <t xml:space="preserve">2026-10-18</t>
        </is>
      </c>
    </row>
    <row r="57">
      <c r="A57" s="3" t="inlineStr">
        <is>
          <t xml:space="preserve">DECK_Travertine</t>
        </is>
      </c>
      <c r="B57" s="3" t="inlineStr">
        <is>
          <t xml:space="preserve">Travertine paver deck, installed</t>
        </is>
      </c>
      <c r="C57" s="3" t="inlineStr">
        <is>
          <t xml:space="preserve">sf</t>
        </is>
      </c>
      <c r="D57" s="8">
        <v>20</v>
      </c>
      <c r="E57" s="8">
        <v>32.5</v>
      </c>
      <c r="F57" s="8">
        <v>45</v>
      </c>
      <c r="G57" s="3" t="inlineStr">
        <is>
          <t xml:space="preserve">VERIFIED</t>
        </is>
      </c>
      <c r="H57" s="3" t="inlineStr">
        <is>
          <t xml:space="preserve">S12: DFW $20 to $45 per sf.</t>
        </is>
      </c>
      <c r="I57" s="3" t="inlineStr">
        <is>
          <t xml:space="preserve">2026-10-18</t>
        </is>
      </c>
    </row>
    <row r="58">
      <c r="A58" s="3" t="inlineStr">
        <is>
          <t xml:space="preserve">DECK_Limestone</t>
        </is>
      </c>
      <c r="B58" s="3" t="inlineStr">
        <is>
          <t xml:space="preserve">Natural flagstone deck including limestone, installed</t>
        </is>
      </c>
      <c r="C58" s="3" t="inlineStr">
        <is>
          <t xml:space="preserve">sf</t>
        </is>
      </c>
      <c r="D58" s="8">
        <v>20</v>
      </c>
      <c r="E58" s="8">
        <v>30</v>
      </c>
      <c r="F58" s="8">
        <v>40</v>
      </c>
      <c r="G58" s="3" t="inlineStr">
        <is>
          <t xml:space="preserve">VERIFIED</t>
        </is>
      </c>
      <c r="H58" s="3" t="inlineStr">
        <is>
          <t xml:space="preserve">S12: DFW flagstone (sandstone, limestone, quartzite) $20 to $40 per sf. Sawn Texas limestone pavers: get a supplier quote.</t>
        </is>
      </c>
      <c r="I58" s="3" t="inlineStr">
        <is>
          <t xml:space="preserve">2026-10-18</t>
        </is>
      </c>
    </row>
    <row r="59">
      <c r="A59" s="3" t="inlineStr">
        <is>
          <t xml:space="preserve">SPA_None</t>
        </is>
      </c>
      <c r="B59" s="3" t="inlineStr">
        <is>
          <t xml:space="preserve">No separate spa</t>
        </is>
      </c>
      <c r="C59" s="3" t="inlineStr">
        <is>
          <t xml:space="preserve">each</t>
        </is>
      </c>
      <c r="D59" s="8">
        <v>0</v>
      </c>
      <c r="E59" s="8">
        <v>0</v>
      </c>
      <c r="F59" s="8">
        <v>0</v>
      </c>
      <c r="G59" s="3" t="inlineStr">
        <is>
          <t xml:space="preserve"/>
        </is>
      </c>
      <c r="H59" s="3" t="inlineStr">
        <is>
          <t xml:space="preserve">No adder.</t>
        </is>
      </c>
      <c r="I59" s="3" t="inlineStr">
        <is>
          <t xml:space="preserve"/>
        </is>
      </c>
    </row>
    <row r="60">
      <c r="A60" s="3" t="inlineStr">
        <is>
          <t xml:space="preserve">SPA_Bastia Spa</t>
        </is>
      </c>
      <c r="B60" s="3" t="inlineStr">
        <is>
          <t xml:space="preserve">Separate spa, installed: shell, plumbing, equipment</t>
        </is>
      </c>
      <c r="C60" s="3" t="inlineStr">
        <is>
          <t xml:space="preserve">each</t>
        </is>
      </c>
      <c r="D60" s="8">
        <v>8000</v>
      </c>
      <c r="E60" s="8">
        <v>17700</v>
      </c>
      <c r="F60" s="8">
        <v>20000</v>
      </c>
      <c r="G60" s="3" t="inlineStr">
        <is>
          <t xml:space="preserve">MIXED</t>
        </is>
      </c>
      <c r="H60" s="3" t="inlineStr">
        <is>
          <t xml:space="preserve">S3: integrated spa $8,000 to $20,000 (DFW). S2: Texas add-on spa average $17,700. Retail figures used as cost: conservative.</t>
        </is>
      </c>
      <c r="I60" s="3" t="inlineStr">
        <is>
          <t xml:space="preserve">2026-10-18</t>
        </is>
      </c>
    </row>
    <row r="61">
      <c r="A61" s="3" t="inlineStr">
        <is>
          <t xml:space="preserve">SPA_Elba Spa</t>
        </is>
      </c>
      <c r="B61" s="3" t="inlineStr">
        <is>
          <t xml:space="preserve">Separate spa, installed: shell, plumbing, equipment</t>
        </is>
      </c>
      <c r="C61" s="3" t="inlineStr">
        <is>
          <t xml:space="preserve">each</t>
        </is>
      </c>
      <c r="D61" s="8">
        <v>8000</v>
      </c>
      <c r="E61" s="8">
        <v>17700</v>
      </c>
      <c r="F61" s="8">
        <v>20000</v>
      </c>
      <c r="G61" s="3" t="inlineStr">
        <is>
          <t xml:space="preserve">MIXED</t>
        </is>
      </c>
      <c r="H61" s="3" t="inlineStr">
        <is>
          <t xml:space="preserve">As above.</t>
        </is>
      </c>
      <c r="I61" s="3" t="inlineStr">
        <is>
          <t xml:space="preserve">2026-10-18</t>
        </is>
      </c>
    </row>
    <row r="62">
      <c r="A62" s="3" t="inlineStr">
        <is>
          <t xml:space="preserve">LEDGE</t>
        </is>
      </c>
      <c r="B62" s="3" t="inlineStr">
        <is>
          <t xml:space="preserve">Aqua Ledge sun ledge, installed</t>
        </is>
      </c>
      <c r="C62" s="3" t="inlineStr">
        <is>
          <t xml:space="preserve">each</t>
        </is>
      </c>
      <c r="D62" s="8">
        <v>1500</v>
      </c>
      <c r="E62" s="8">
        <v>3500</v>
      </c>
      <c r="F62" s="8">
        <v>5000</v>
      </c>
      <c r="G62" s="3" t="inlineStr">
        <is>
          <t xml:space="preserve">MIXED</t>
        </is>
      </c>
      <c r="H62" s="3" t="inlineStr">
        <is>
          <t xml:space="preserve">S3: DFW tanning ledges $1,500 to $5,000 (built-in, gunite context). No AquaTechnics price read: replace with dealer price plus install.</t>
        </is>
      </c>
      <c r="I62" s="3" t="inlineStr">
        <is>
          <t xml:space="preserve">2026-10-18</t>
        </is>
      </c>
    </row>
    <row r="63">
      <c r="A63" s="3" t="inlineStr">
        <is>
          <t xml:space="preserve">AUTOCOVER</t>
        </is>
      </c>
      <c r="B63" s="3" t="inlineStr">
        <is>
          <t xml:space="preserve">Automatic safety cover, installed</t>
        </is>
      </c>
      <c r="C63" s="3" t="inlineStr">
        <is>
          <t xml:space="preserve">each</t>
        </is>
      </c>
      <c r="D63" s="8">
        <v>14000</v>
      </c>
      <c r="E63" s="8">
        <v>15000</v>
      </c>
      <c r="F63" s="8">
        <v>21000</v>
      </c>
      <c r="G63" s="3" t="inlineStr">
        <is>
          <t xml:space="preserve">VERIFIED</t>
        </is>
      </c>
      <c r="H63" s="3" t="inlineStr">
        <is>
          <t xml:space="preserve">S4: $14,000 to $21,000. S2: Texas average $15,000.</t>
        </is>
      </c>
      <c r="I63" s="3" t="inlineStr">
        <is>
          <t xml:space="preserve">2026-10-18</t>
        </is>
      </c>
    </row>
    <row r="64">
      <c r="A64" s="3" t="inlineStr">
        <is>
          <t xml:space="preserve">FENCE_Aluminum</t>
        </is>
      </c>
      <c r="B64" s="3" t="inlineStr">
        <is>
          <t xml:space="preserve">Aluminum pool fence, installed</t>
        </is>
      </c>
      <c r="C64" s="3" t="inlineStr">
        <is>
          <t xml:space="preserve">LF</t>
        </is>
      </c>
      <c r="D64" s="8">
        <v>25</v>
      </c>
      <c r="E64" s="8">
        <v>45</v>
      </c>
      <c r="F64" s="8">
        <v>75</v>
      </c>
      <c r="G64" s="3" t="inlineStr">
        <is>
          <t xml:space="preserve">VERIFIED</t>
        </is>
      </c>
      <c r="H64" s="3" t="inlineStr">
        <is>
          <t xml:space="preserve">S13: $25 to $75 per LF. S2: Texas basic fence about $8,000 per 300 LF. Likely assumed.</t>
        </is>
      </c>
      <c r="I64" s="3" t="inlineStr">
        <is>
          <t xml:space="preserve">2026-10-18</t>
        </is>
      </c>
    </row>
    <row r="65">
      <c r="A65" s="3" t="inlineStr">
        <is>
          <t xml:space="preserve">FENCE_Wrought iron</t>
        </is>
      </c>
      <c r="B65" s="3" t="inlineStr">
        <is>
          <t xml:space="preserve">Wrought iron pool fence, installed</t>
        </is>
      </c>
      <c r="C65" s="3" t="inlineStr">
        <is>
          <t xml:space="preserve">LF</t>
        </is>
      </c>
      <c r="D65" s="8">
        <v>50</v>
      </c>
      <c r="E65" s="8">
        <v>67.5</v>
      </c>
      <c r="F65" s="8">
        <v>85</v>
      </c>
      <c r="G65" s="3" t="inlineStr">
        <is>
          <t xml:space="preserve">VERIFIED</t>
        </is>
      </c>
      <c r="H65" s="3" t="inlineStr">
        <is>
          <t xml:space="preserve">S13: $50 to $85 per LF.</t>
        </is>
      </c>
      <c r="I65" s="3" t="inlineStr">
        <is>
          <t xml:space="preserve">2026-10-18</t>
        </is>
      </c>
    </row>
    <row r="66">
      <c r="A66" s="3" t="inlineStr">
        <is>
          <t xml:space="preserve">WATER_RATE</t>
        </is>
      </c>
      <c r="B66" s="3" t="inlineStr">
        <is>
          <t xml:space="preserve">City water per 1,000 gallons (Dallas residential tiers 2, 3 and 5)</t>
        </is>
      </c>
      <c r="C66" s="3" t="inlineStr">
        <is>
          <t xml:space="preserve">1,000 gal</t>
        </is>
      </c>
      <c r="D66" s="8">
        <v>4.81</v>
      </c>
      <c r="E66" s="8">
        <v>7.98</v>
      </c>
      <c r="F66" s="8">
        <v>13.2</v>
      </c>
      <c r="G66" s="3" t="inlineStr">
        <is>
          <t xml:space="preserve">VERIFIED</t>
        </is>
      </c>
      <c r="H66" s="3" t="inlineStr">
        <is>
          <t xml:space="preserve">S14: Dallas Water Utilities, effective October 1, 2025. Other cities differ; water rides the homeowner's meter.</t>
        </is>
      </c>
      <c r="I66" s="3" t="inlineStr">
        <is>
          <t xml:space="preserve">2026-10-18</t>
        </is>
      </c>
    </row>
    <row r="67">
      <c r="A67" s="3" t="inlineStr">
        <is>
          <t xml:space="preserve">STARTUP</t>
        </is>
      </c>
      <c r="B67" s="3" t="inlineStr">
        <is>
          <t xml:space="preserve">Start-up chemistry, salt, first-week visits</t>
        </is>
      </c>
      <c r="C67" s="3" t="inlineStr">
        <is>
          <t xml:space="preserve">job</t>
        </is>
      </c>
      <c r="D67" s="8">
        <v>300</v>
      </c>
      <c r="E67" s="8">
        <v>500</v>
      </c>
      <c r="F67" s="8">
        <v>800</v>
      </c>
      <c r="G67" s="3" t="inlineStr">
        <is>
          <t xml:space="preserve">ASSUMED</t>
        </is>
      </c>
      <c r="H67" s="3" t="inlineStr">
        <is>
          <t xml:space="preserve">Estimator judgment.</t>
        </is>
      </c>
      <c r="I67" s="3" t="inlineStr">
        <is>
          <t xml:space="preserve"/>
        </is>
      </c>
    </row>
    <row r="68">
      <c r="A68" s="3" t="inlineStr">
        <is>
          <t xml:space="preserve">PERMIT</t>
        </is>
      </c>
      <c r="B68" s="3" t="inlineStr">
        <is>
          <t xml:space="preserve">Pool permit and trade fees</t>
        </is>
      </c>
      <c r="C68" s="3" t="inlineStr">
        <is>
          <t xml:space="preserve">job</t>
        </is>
      </c>
      <c r="D68" s="8">
        <v>350</v>
      </c>
      <c r="E68" s="8">
        <v>1500</v>
      </c>
      <c r="F68" s="8">
        <v>3000</v>
      </c>
      <c r="G68" s="3" t="inlineStr">
        <is>
          <t xml:space="preserve">MIXED</t>
        </is>
      </c>
      <c r="H68" s="3" t="inlineStr">
        <is>
          <t xml:space="preserve">S15: Frisco $200 pool, $275 pool and spa, $50 plumbing, $50 electrical. S3: DFW $1,000 to $3,000. Likely assumed. Check the city's own fee page.</t>
        </is>
      </c>
      <c r="I68" s="3" t="inlineStr">
        <is>
          <t xml:space="preserve">2026-10-18</t>
        </is>
      </c>
    </row>
    <row r="69">
      <c r="A69" s="3" t="inlineStr">
        <is>
          <t xml:space="preserve">MOBIL</t>
        </is>
      </c>
      <c r="B69" s="3" t="inlineStr">
        <is>
          <t xml:space="preserve">Mobilization, temporary safety fence, toilet, protection, cleanup</t>
        </is>
      </c>
      <c r="C69" s="3" t="inlineStr">
        <is>
          <t xml:space="preserve">job</t>
        </is>
      </c>
      <c r="D69" s="8">
        <v>1000</v>
      </c>
      <c r="E69" s="8">
        <v>1750</v>
      </c>
      <c r="F69" s="8">
        <v>2500</v>
      </c>
      <c r="G69" s="3" t="inlineStr">
        <is>
          <t xml:space="preserve">ASSUMED</t>
        </is>
      </c>
      <c r="H69" s="3" t="inlineStr">
        <is>
          <t xml:space="preserve">S15: Frisco requires temporary safety fencing before the first inspection. Amounts are estimator judgment.</t>
        </is>
      </c>
      <c r="I69" s="3" t="inlineStr">
        <is>
          <t xml:space="preserve">2026-10-18</t>
        </is>
      </c>
    </row>
    <row r="70">
      <c r="A70" s="3" t="inlineStr">
        <is>
          <t xml:space="preserve">CONTINGENCY</t>
        </is>
      </c>
      <c r="B70" s="3" t="inlineStr">
        <is>
          <t xml:space="preserve">Contingency on direct cost</t>
        </is>
      </c>
      <c r="C70" s="3" t="inlineStr">
        <is>
          <t xml:space="preserve">percent</t>
        </is>
      </c>
      <c r="D70" s="6">
        <v>0.03</v>
      </c>
      <c r="E70" s="6">
        <v>0.05</v>
      </c>
      <c r="F70" s="6">
        <v>0.08</v>
      </c>
      <c r="G70" s="3" t="inlineStr">
        <is>
          <t xml:space="preserve">ASSUMED</t>
        </is>
      </c>
      <c r="H70" s="3" t="inlineStr">
        <is>
          <t xml:space="preserve">Owner policy. Raise it on engineered-clay, rock or over-house jobs.</t>
        </is>
      </c>
      <c r="I70" s="3" t="inlineStr">
        <is>
          <t xml:space="preserve"/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O35"/>
  <sheetViews>
    <sheetView workbookViewId="0">
      <pane xSplit="1" ySplit="1" topLeftCell="B2" activePane="bottomRight" state="frozen"/>
    </sheetView>
  </sheetViews>
  <sheetFormatPr defaultRowHeight="15"/>
  <cols>
    <col min="1" max="1" width="20" customWidth="1"/>
    <col min="2" max="2" width="14" customWidth="1"/>
    <col min="3" max="3" width="20" customWidth="1"/>
    <col min="4" max="4" width="18" customWidth="1"/>
    <col min="5" max="5" width="12" customWidth="1"/>
    <col min="6" max="6" width="13" customWidth="1"/>
    <col min="7" max="7" width="11" customWidth="1"/>
    <col min="8" max="8" width="10" customWidth="1"/>
    <col min="9" max="9" width="11" customWidth="1"/>
    <col min="10" max="10" width="11" customWidth="1"/>
    <col min="11" max="11" width="12" customWidth="1"/>
    <col min="12" max="12" width="15" customWidth="1"/>
    <col min="13" max="13" width="16" customWidth="1"/>
    <col min="14" max="14" width="15" customWidth="1"/>
    <col min="15" max="15" width="70" customWidth="1"/>
  </cols>
  <sheetData>
    <row r="1" ht="22" customHeight="1">
      <c r="A1" s="1" t="inlineStr">
        <is>
          <t xml:space="preserve">Model</t>
        </is>
      </c>
      <c r="B1" s="1" t="inlineStr">
        <is>
          <t xml:space="preserve">Series</t>
        </is>
      </c>
      <c r="C1" s="1" t="inlineStr">
        <is>
          <t xml:space="preserve">External, as printed</t>
        </is>
      </c>
      <c r="D1" s="1" t="inlineStr">
        <is>
          <t xml:space="preserve">Depth, as printed</t>
        </is>
      </c>
      <c r="E1" s="2" t="inlineStr">
        <is>
          <t xml:space="preserve">Ext. width ft</t>
        </is>
      </c>
      <c r="F1" s="2" t="inlineStr">
        <is>
          <t xml:space="preserve">Ext. length ft</t>
        </is>
      </c>
      <c r="G1" s="2" t="inlineStr">
        <is>
          <t xml:space="preserve">Shallow ft</t>
        </is>
      </c>
      <c r="H1" s="2" t="inlineStr">
        <is>
          <t xml:space="preserve">Deep ft</t>
        </is>
      </c>
      <c r="I1" s="1" t="inlineStr">
        <is>
          <t xml:space="preserve">Size class</t>
        </is>
      </c>
      <c r="J1" s="1" t="inlineStr">
        <is>
          <t xml:space="preserve">Built-in spa</t>
        </is>
      </c>
      <c r="K1" s="2" t="inlineStr">
        <is>
          <t xml:space="preserve">Est. gallons</t>
        </is>
      </c>
      <c r="L1" s="2" t="inlineStr">
        <is>
          <t xml:space="preserve">Shell cost low</t>
        </is>
      </c>
      <c r="M1" s="2" t="inlineStr">
        <is>
          <t xml:space="preserve">Shell cost likely</t>
        </is>
      </c>
      <c r="N1" s="2" t="inlineStr">
        <is>
          <t xml:space="preserve">Shell cost high</t>
        </is>
      </c>
      <c r="O1" s="1" t="inlineStr">
        <is>
          <t xml:space="preserve">Note</t>
        </is>
      </c>
    </row>
    <row r="2">
      <c r="A2" s="3" t="inlineStr">
        <is>
          <t xml:space="preserve">Elysian</t>
        </is>
      </c>
      <c r="B2" s="3" t="inlineStr">
        <is>
          <t xml:space="preserve">Villa</t>
        </is>
      </c>
      <c r="C2" s="3" t="inlineStr">
        <is>
          <t xml:space="preserve">12'1" x 28'7"</t>
        </is>
      </c>
      <c r="D2" s="3" t="inlineStr">
        <is>
          <t xml:space="preserve">3'7" to 5'9"</t>
        </is>
      </c>
      <c r="E2" s="7">
        <v>12.08</v>
      </c>
      <c r="F2" s="7">
        <v>28.58</v>
      </c>
      <c r="G2" s="7">
        <v>3.58</v>
      </c>
      <c r="H2" s="7">
        <v>5.75</v>
      </c>
      <c r="I2" s="3">
        <f>IF(F2&gt;=35,"Large",IF(F2&gt;=26,"Medium","Small"))</f>
      </c>
      <c r="J2" s="3" t="inlineStr">
        <is>
          <t xml:space="preserve">No</t>
        </is>
      </c>
      <c r="K2" s="5">
        <f>ROUND((E2-1.33)*(F2-1.33)*(G2+H2)/2*7.48*0.7,-2)</f>
      </c>
      <c r="L2" s="4">
        <f>INDEX(Rates!D$2:D$70,MATCH("SHELL_"&amp;$I2,Rates!$A$2:$A$70,0))</f>
      </c>
      <c r="M2" s="4">
        <f>INDEX(Rates!E$2:E$70,MATCH("SHELL_"&amp;$I2,Rates!$A$2:$A$70,0))</f>
      </c>
      <c r="N2" s="4">
        <f>INDEX(Rates!F$2:F$70,MATCH("SHELL_"&amp;$I2,Rates!$A$2:$A$70,0))</f>
      </c>
      <c r="O2" s="3" t="inlineStr">
        <is>
          <t xml:space="preserve"/>
        </is>
      </c>
    </row>
    <row r="3">
      <c r="A3" s="3" t="inlineStr">
        <is>
          <t xml:space="preserve">Istana</t>
        </is>
      </c>
      <c r="B3" s="3" t="inlineStr">
        <is>
          <t xml:space="preserve">Villa</t>
        </is>
      </c>
      <c r="C3" s="3" t="inlineStr">
        <is>
          <t xml:space="preserve">12'1" x 21'7"</t>
        </is>
      </c>
      <c r="D3" s="3" t="inlineStr">
        <is>
          <t xml:space="preserve">3'11" to 5'5"</t>
        </is>
      </c>
      <c r="E3" s="7">
        <v>12.08</v>
      </c>
      <c r="F3" s="7">
        <v>21.58</v>
      </c>
      <c r="G3" s="7">
        <v>3.92</v>
      </c>
      <c r="H3" s="7">
        <v>5.42</v>
      </c>
      <c r="I3" s="3">
        <f>IF(F3&gt;=35,"Large",IF(F3&gt;=26,"Medium","Small"))</f>
      </c>
      <c r="J3" s="3" t="inlineStr">
        <is>
          <t xml:space="preserve">No</t>
        </is>
      </c>
      <c r="K3" s="5">
        <f>ROUND((E3-1.33)*(F3-1.33)*(G3+H3)/2*7.48*0.7,-2)</f>
      </c>
      <c r="L3" s="4">
        <f>INDEX(Rates!D$2:D$70,MATCH("SHELL_"&amp;$I3,Rates!$A$2:$A$70,0))</f>
      </c>
      <c r="M3" s="4">
        <f>INDEX(Rates!E$2:E$70,MATCH("SHELL_"&amp;$I3,Rates!$A$2:$A$70,0))</f>
      </c>
      <c r="N3" s="4">
        <f>INDEX(Rates!F$2:F$70,MATCH("SHELL_"&amp;$I3,Rates!$A$2:$A$70,0))</f>
      </c>
      <c r="O3" s="3" t="inlineStr">
        <is>
          <t xml:space="preserve"/>
        </is>
      </c>
    </row>
    <row r="4">
      <c r="A4" s="3" t="inlineStr">
        <is>
          <t xml:space="preserve">Terazza</t>
        </is>
      </c>
      <c r="B4" s="3" t="inlineStr">
        <is>
          <t xml:space="preserve">Villa</t>
        </is>
      </c>
      <c r="C4" s="3" t="inlineStr">
        <is>
          <t xml:space="preserve">12'1" x 25'3"</t>
        </is>
      </c>
      <c r="D4" s="3" t="inlineStr">
        <is>
          <t xml:space="preserve">3'11" to 5'9"</t>
        </is>
      </c>
      <c r="E4" s="7">
        <v>12.08</v>
      </c>
      <c r="F4" s="7">
        <v>25.25</v>
      </c>
      <c r="G4" s="7">
        <v>3.92</v>
      </c>
      <c r="H4" s="7">
        <v>5.75</v>
      </c>
      <c r="I4" s="3">
        <f>IF(F4&gt;=35,"Large",IF(F4&gt;=26,"Medium","Small"))</f>
      </c>
      <c r="J4" s="3" t="inlineStr">
        <is>
          <t xml:space="preserve">No</t>
        </is>
      </c>
      <c r="K4" s="5">
        <f>ROUND((E4-1.33)*(F4-1.33)*(G4+H4)/2*7.48*0.7,-2)</f>
      </c>
      <c r="L4" s="4">
        <f>INDEX(Rates!D$2:D$70,MATCH("SHELL_"&amp;$I4,Rates!$A$2:$A$70,0))</f>
      </c>
      <c r="M4" s="4">
        <f>INDEX(Rates!E$2:E$70,MATCH("SHELL_"&amp;$I4,Rates!$A$2:$A$70,0))</f>
      </c>
      <c r="N4" s="4">
        <f>INDEX(Rates!F$2:F$70,MATCH("SHELL_"&amp;$I4,Rates!$A$2:$A$70,0))</f>
      </c>
      <c r="O4" s="3" t="inlineStr">
        <is>
          <t xml:space="preserve"/>
        </is>
      </c>
    </row>
    <row r="5">
      <c r="A5" s="3" t="inlineStr">
        <is>
          <t xml:space="preserve">Empire</t>
        </is>
      </c>
      <c r="B5" s="3" t="inlineStr">
        <is>
          <t xml:space="preserve">Royal</t>
        </is>
      </c>
      <c r="C5" s="3" t="inlineStr">
        <is>
          <t xml:space="preserve">11'2" x 21'</t>
        </is>
      </c>
      <c r="D5" s="3" t="inlineStr">
        <is>
          <t xml:space="preserve">3'4" to 5'9"</t>
        </is>
      </c>
      <c r="E5" s="7">
        <v>11.17</v>
      </c>
      <c r="F5" s="7">
        <v>21</v>
      </c>
      <c r="G5" s="7">
        <v>3.33</v>
      </c>
      <c r="H5" s="7">
        <v>5.75</v>
      </c>
      <c r="I5" s="3">
        <f>IF(F5&gt;=35,"Large",IF(F5&gt;=26,"Medium","Small"))</f>
      </c>
      <c r="J5" s="3" t="inlineStr">
        <is>
          <t xml:space="preserve">No</t>
        </is>
      </c>
      <c r="K5" s="5">
        <f>ROUND((E5-1.33)*(F5-1.33)*(G5+H5)/2*7.48*0.7,-2)</f>
      </c>
      <c r="L5" s="4">
        <f>INDEX(Rates!D$2:D$70,MATCH("SHELL_"&amp;$I5,Rates!$A$2:$A$70,0))</f>
      </c>
      <c r="M5" s="4">
        <f>INDEX(Rates!E$2:E$70,MATCH("SHELL_"&amp;$I5,Rates!$A$2:$A$70,0))</f>
      </c>
      <c r="N5" s="4">
        <f>INDEX(Rates!F$2:F$70,MATCH("SHELL_"&amp;$I5,Rates!$A$2:$A$70,0))</f>
      </c>
      <c r="O5" s="3" t="inlineStr">
        <is>
          <t xml:space="preserve"/>
        </is>
      </c>
    </row>
    <row r="6">
      <c r="A6" s="3" t="inlineStr">
        <is>
          <t xml:space="preserve">Oxford</t>
        </is>
      </c>
      <c r="B6" s="3" t="inlineStr">
        <is>
          <t xml:space="preserve">Royal</t>
        </is>
      </c>
      <c r="C6" s="3" t="inlineStr">
        <is>
          <t xml:space="preserve">11'2" x 24'3"</t>
        </is>
      </c>
      <c r="D6" s="3" t="inlineStr">
        <is>
          <t xml:space="preserve">3'3" to 6'2"</t>
        </is>
      </c>
      <c r="E6" s="7">
        <v>11.17</v>
      </c>
      <c r="F6" s="7">
        <v>24.25</v>
      </c>
      <c r="G6" s="7">
        <v>3.25</v>
      </c>
      <c r="H6" s="7">
        <v>6.17</v>
      </c>
      <c r="I6" s="3">
        <f>IF(F6&gt;=35,"Large",IF(F6&gt;=26,"Medium","Small"))</f>
      </c>
      <c r="J6" s="3" t="inlineStr">
        <is>
          <t xml:space="preserve">No</t>
        </is>
      </c>
      <c r="K6" s="5">
        <f>ROUND((E6-1.33)*(F6-1.33)*(G6+H6)/2*7.48*0.7,-2)</f>
      </c>
      <c r="L6" s="4">
        <f>INDEX(Rates!D$2:D$70,MATCH("SHELL_"&amp;$I6,Rates!$A$2:$A$70,0))</f>
      </c>
      <c r="M6" s="4">
        <f>INDEX(Rates!E$2:E$70,MATCH("SHELL_"&amp;$I6,Rates!$A$2:$A$70,0))</f>
      </c>
      <c r="N6" s="4">
        <f>INDEX(Rates!F$2:F$70,MATCH("SHELL_"&amp;$I6,Rates!$A$2:$A$70,0))</f>
      </c>
      <c r="O6" s="3" t="inlineStr">
        <is>
          <t xml:space="preserve"/>
        </is>
      </c>
    </row>
    <row r="7">
      <c r="A7" s="3" t="inlineStr">
        <is>
          <t xml:space="preserve">Sovereign</t>
        </is>
      </c>
      <c r="B7" s="3" t="inlineStr">
        <is>
          <t xml:space="preserve">Royal</t>
        </is>
      </c>
      <c r="C7" s="3" t="inlineStr">
        <is>
          <t xml:space="preserve">10'2" x 17'9"</t>
        </is>
      </c>
      <c r="D7" s="3" t="inlineStr">
        <is>
          <t xml:space="preserve">3'3" to 5'4"</t>
        </is>
      </c>
      <c r="E7" s="7">
        <v>10.17</v>
      </c>
      <c r="F7" s="7">
        <v>17.75</v>
      </c>
      <c r="G7" s="7">
        <v>3.25</v>
      </c>
      <c r="H7" s="7">
        <v>5.33</v>
      </c>
      <c r="I7" s="3">
        <f>IF(F7&gt;=35,"Large",IF(F7&gt;=26,"Medium","Small"))</f>
      </c>
      <c r="J7" s="3" t="inlineStr">
        <is>
          <t xml:space="preserve">No</t>
        </is>
      </c>
      <c r="K7" s="5">
        <f>ROUND((E7-1.33)*(F7-1.33)*(G7+H7)/2*7.48*0.7,-2)</f>
      </c>
      <c r="L7" s="4">
        <f>INDEX(Rates!D$2:D$70,MATCH("SHELL_"&amp;$I7,Rates!$A$2:$A$70,0))</f>
      </c>
      <c r="M7" s="4">
        <f>INDEX(Rates!E$2:E$70,MATCH("SHELL_"&amp;$I7,Rates!$A$2:$A$70,0))</f>
      </c>
      <c r="N7" s="4">
        <f>INDEX(Rates!F$2:F$70,MATCH("SHELL_"&amp;$I7,Rates!$A$2:$A$70,0))</f>
      </c>
      <c r="O7" s="3" t="inlineStr">
        <is>
          <t xml:space="preserve"/>
        </is>
      </c>
    </row>
    <row r="8">
      <c r="A8" s="3" t="inlineStr">
        <is>
          <t xml:space="preserve">Alto</t>
        </is>
      </c>
      <c r="B8" s="3" t="inlineStr">
        <is>
          <t xml:space="preserve">Piazza</t>
        </is>
      </c>
      <c r="C8" s="3" t="inlineStr">
        <is>
          <t xml:space="preserve">10'4" x 16'1"</t>
        </is>
      </c>
      <c r="D8" s="3" t="inlineStr">
        <is>
          <t xml:space="preserve">4'6" to 5'10"</t>
        </is>
      </c>
      <c r="E8" s="7">
        <v>10.33</v>
      </c>
      <c r="F8" s="7">
        <v>16.08</v>
      </c>
      <c r="G8" s="7">
        <v>4.5</v>
      </c>
      <c r="H8" s="7">
        <v>5.83</v>
      </c>
      <c r="I8" s="3">
        <f>IF(F8&gt;=35,"Large",IF(F8&gt;=26,"Medium","Small"))</f>
      </c>
      <c r="J8" s="3" t="inlineStr">
        <is>
          <t xml:space="preserve">No</t>
        </is>
      </c>
      <c r="K8" s="5">
        <f>ROUND((E8-1.33)*(F8-1.33)*(G8+H8)/2*7.48*0.7,-2)</f>
      </c>
      <c r="L8" s="4">
        <f>INDEX(Rates!D$2:D$70,MATCH("SHELL_"&amp;$I8,Rates!$A$2:$A$70,0))</f>
      </c>
      <c r="M8" s="4">
        <f>INDEX(Rates!E$2:E$70,MATCH("SHELL_"&amp;$I8,Rates!$A$2:$A$70,0))</f>
      </c>
      <c r="N8" s="4">
        <f>INDEX(Rates!F$2:F$70,MATCH("SHELL_"&amp;$I8,Rates!$A$2:$A$70,0))</f>
      </c>
      <c r="O8" s="3" t="inlineStr">
        <is>
          <t xml:space="preserve">Deep plunge style</t>
        </is>
      </c>
    </row>
    <row r="9">
      <c r="A9" s="3" t="inlineStr">
        <is>
          <t xml:space="preserve">Avellino</t>
        </is>
      </c>
      <c r="B9" s="3" t="inlineStr">
        <is>
          <t xml:space="preserve">Piazza</t>
        </is>
      </c>
      <c r="C9" s="3" t="inlineStr">
        <is>
          <t xml:space="preserve">14'5" x 21'</t>
        </is>
      </c>
      <c r="D9" s="3" t="inlineStr">
        <is>
          <t xml:space="preserve">3'7" to 5'10"</t>
        </is>
      </c>
      <c r="E9" s="7">
        <v>14.42</v>
      </c>
      <c r="F9" s="7">
        <v>21</v>
      </c>
      <c r="G9" s="7">
        <v>3.58</v>
      </c>
      <c r="H9" s="7">
        <v>5.83</v>
      </c>
      <c r="I9" s="3">
        <f>IF(F9&gt;=35,"Large",IF(F9&gt;=26,"Medium","Small"))</f>
      </c>
      <c r="J9" s="3" t="inlineStr">
        <is>
          <t xml:space="preserve">No</t>
        </is>
      </c>
      <c r="K9" s="5">
        <f>ROUND((E9-1.33)*(F9-1.33)*(G9+H9)/2*7.48*0.7,-2)</f>
      </c>
      <c r="L9" s="4">
        <f>INDEX(Rates!D$2:D$70,MATCH("SHELL_"&amp;$I9,Rates!$A$2:$A$70,0))</f>
      </c>
      <c r="M9" s="4">
        <f>INDEX(Rates!E$2:E$70,MATCH("SHELL_"&amp;$I9,Rates!$A$2:$A$70,0))</f>
      </c>
      <c r="N9" s="4">
        <f>INDEX(Rates!F$2:F$70,MATCH("SHELL_"&amp;$I9,Rates!$A$2:$A$70,0))</f>
      </c>
      <c r="O9" s="3" t="inlineStr">
        <is>
          <t xml:space="preserve"/>
        </is>
      </c>
    </row>
    <row r="10">
      <c r="A10" s="3" t="inlineStr">
        <is>
          <t xml:space="preserve">Latina</t>
        </is>
      </c>
      <c r="B10" s="3" t="inlineStr">
        <is>
          <t xml:space="preserve">Piazza</t>
        </is>
      </c>
      <c r="C10" s="3" t="inlineStr">
        <is>
          <t xml:space="preserve">12'10" x 16'1"</t>
        </is>
      </c>
      <c r="D10" s="3" t="inlineStr">
        <is>
          <t xml:space="preserve">4'6" to 5'10"</t>
        </is>
      </c>
      <c r="E10" s="7">
        <v>12.83</v>
      </c>
      <c r="F10" s="7">
        <v>16.08</v>
      </c>
      <c r="G10" s="7">
        <v>4.5</v>
      </c>
      <c r="H10" s="7">
        <v>5.83</v>
      </c>
      <c r="I10" s="3">
        <f>IF(F10&gt;=35,"Large",IF(F10&gt;=26,"Medium","Small"))</f>
      </c>
      <c r="J10" s="3" t="inlineStr">
        <is>
          <t xml:space="preserve">No</t>
        </is>
      </c>
      <c r="K10" s="5">
        <f>ROUND((E10-1.33)*(F10-1.33)*(G10+H10)/2*7.48*0.7,-2)</f>
      </c>
      <c r="L10" s="4">
        <f>INDEX(Rates!D$2:D$70,MATCH("SHELL_"&amp;$I10,Rates!$A$2:$A$70,0))</f>
      </c>
      <c r="M10" s="4">
        <f>INDEX(Rates!E$2:E$70,MATCH("SHELL_"&amp;$I10,Rates!$A$2:$A$70,0))</f>
      </c>
      <c r="N10" s="4">
        <f>INDEX(Rates!F$2:F$70,MATCH("SHELL_"&amp;$I10,Rates!$A$2:$A$70,0))</f>
      </c>
      <c r="O10" s="3" t="inlineStr">
        <is>
          <t xml:space="preserve">Deep plunge style</t>
        </is>
      </c>
    </row>
    <row r="11">
      <c r="A11" s="3" t="inlineStr">
        <is>
          <t xml:space="preserve">Palazzo</t>
        </is>
      </c>
      <c r="B11" s="3" t="inlineStr">
        <is>
          <t xml:space="preserve">Piazza</t>
        </is>
      </c>
      <c r="C11" s="3" t="inlineStr">
        <is>
          <t xml:space="preserve">12'10" x 24'3"</t>
        </is>
      </c>
      <c r="D11" s="3" t="inlineStr">
        <is>
          <t xml:space="preserve">3'7" to 5'10"</t>
        </is>
      </c>
      <c r="E11" s="7">
        <v>12.83</v>
      </c>
      <c r="F11" s="7">
        <v>24.25</v>
      </c>
      <c r="G11" s="7">
        <v>3.58</v>
      </c>
      <c r="H11" s="7">
        <v>5.83</v>
      </c>
      <c r="I11" s="3">
        <f>IF(F11&gt;=35,"Large",IF(F11&gt;=26,"Medium","Small"))</f>
      </c>
      <c r="J11" s="3" t="inlineStr">
        <is>
          <t xml:space="preserve">No</t>
        </is>
      </c>
      <c r="K11" s="5">
        <f>ROUND((E11-1.33)*(F11-1.33)*(G11+H11)/2*7.48*0.7,-2)</f>
      </c>
      <c r="L11" s="4">
        <f>INDEX(Rates!D$2:D$70,MATCH("SHELL_"&amp;$I11,Rates!$A$2:$A$70,0))</f>
      </c>
      <c r="M11" s="4">
        <f>INDEX(Rates!E$2:E$70,MATCH("SHELL_"&amp;$I11,Rates!$A$2:$A$70,0))</f>
      </c>
      <c r="N11" s="4">
        <f>INDEX(Rates!F$2:F$70,MATCH("SHELL_"&amp;$I11,Rates!$A$2:$A$70,0))</f>
      </c>
      <c r="O11" s="3" t="inlineStr">
        <is>
          <t xml:space="preserve"/>
        </is>
      </c>
    </row>
    <row r="12">
      <c r="A12" s="3" t="inlineStr">
        <is>
          <t xml:space="preserve">Valentina</t>
        </is>
      </c>
      <c r="B12" s="3" t="inlineStr">
        <is>
          <t xml:space="preserve">Piazza</t>
        </is>
      </c>
      <c r="C12" s="3" t="inlineStr">
        <is>
          <t xml:space="preserve">14'5" x 27'7"</t>
        </is>
      </c>
      <c r="D12" s="3" t="inlineStr">
        <is>
          <t xml:space="preserve">3'3" to 5'10"</t>
        </is>
      </c>
      <c r="E12" s="7">
        <v>14.42</v>
      </c>
      <c r="F12" s="7">
        <v>27.58</v>
      </c>
      <c r="G12" s="7">
        <v>3.25</v>
      </c>
      <c r="H12" s="7">
        <v>5.83</v>
      </c>
      <c r="I12" s="3">
        <f>IF(F12&gt;=35,"Large",IF(F12&gt;=26,"Medium","Small"))</f>
      </c>
      <c r="J12" s="3" t="inlineStr">
        <is>
          <t xml:space="preserve">No</t>
        </is>
      </c>
      <c r="K12" s="5">
        <f>ROUND((E12-1.33)*(F12-1.33)*(G12+H12)/2*7.48*0.7,-2)</f>
      </c>
      <c r="L12" s="4">
        <f>INDEX(Rates!D$2:D$70,MATCH("SHELL_"&amp;$I12,Rates!$A$2:$A$70,0))</f>
      </c>
      <c r="M12" s="4">
        <f>INDEX(Rates!E$2:E$70,MATCH("SHELL_"&amp;$I12,Rates!$A$2:$A$70,0))</f>
      </c>
      <c r="N12" s="4">
        <f>INDEX(Rates!F$2:F$70,MATCH("SHELL_"&amp;$I12,Rates!$A$2:$A$70,0))</f>
      </c>
      <c r="O12" s="3" t="inlineStr">
        <is>
          <t xml:space="preserve"/>
        </is>
      </c>
    </row>
    <row r="13">
      <c r="A13" s="3" t="inlineStr">
        <is>
          <t xml:space="preserve">Siena</t>
        </is>
      </c>
      <c r="B13" s="3" t="inlineStr">
        <is>
          <t xml:space="preserve">Piazza</t>
        </is>
      </c>
      <c r="C13" s="3" t="inlineStr">
        <is>
          <t xml:space="preserve">15'11" x 32'6"</t>
        </is>
      </c>
      <c r="D13" s="3" t="inlineStr">
        <is>
          <t xml:space="preserve">3'3" to 6'1"</t>
        </is>
      </c>
      <c r="E13" s="7">
        <v>15.92</v>
      </c>
      <c r="F13" s="7">
        <v>32.5</v>
      </c>
      <c r="G13" s="7">
        <v>3.25</v>
      </c>
      <c r="H13" s="7">
        <v>6.08</v>
      </c>
      <c r="I13" s="3">
        <f>IF(F13&gt;=35,"Large",IF(F13&gt;=26,"Medium","Small"))</f>
      </c>
      <c r="J13" s="3" t="inlineStr">
        <is>
          <t xml:space="preserve">No</t>
        </is>
      </c>
      <c r="K13" s="5">
        <f>ROUND((E13-1.33)*(F13-1.33)*(G13+H13)/2*7.48*0.7,-2)</f>
      </c>
      <c r="L13" s="4">
        <f>INDEX(Rates!D$2:D$70,MATCH("SHELL_"&amp;$I13,Rates!$A$2:$A$70,0))</f>
      </c>
      <c r="M13" s="4">
        <f>INDEX(Rates!E$2:E$70,MATCH("SHELL_"&amp;$I13,Rates!$A$2:$A$70,0))</f>
      </c>
      <c r="N13" s="4">
        <f>INDEX(Rates!F$2:F$70,MATCH("SHELL_"&amp;$I13,Rates!$A$2:$A$70,0))</f>
      </c>
      <c r="O13" s="3" t="inlineStr">
        <is>
          <t xml:space="preserve"/>
        </is>
      </c>
    </row>
    <row r="14">
      <c r="A14" s="3" t="inlineStr">
        <is>
          <t xml:space="preserve">Torino</t>
        </is>
      </c>
      <c r="B14" s="3" t="inlineStr">
        <is>
          <t xml:space="preserve">Piazza</t>
        </is>
      </c>
      <c r="C14" s="3" t="inlineStr">
        <is>
          <t xml:space="preserve">15'11" x 37'5"</t>
        </is>
      </c>
      <c r="D14" s="3" t="inlineStr">
        <is>
          <t xml:space="preserve">3'3" to 6'7"</t>
        </is>
      </c>
      <c r="E14" s="7">
        <v>15.92</v>
      </c>
      <c r="F14" s="7">
        <v>37.42</v>
      </c>
      <c r="G14" s="7">
        <v>3.25</v>
      </c>
      <c r="H14" s="7">
        <v>6.58</v>
      </c>
      <c r="I14" s="3">
        <f>IF(F14&gt;=35,"Large",IF(F14&gt;=26,"Medium","Small"))</f>
      </c>
      <c r="J14" s="3" t="inlineStr">
        <is>
          <t xml:space="preserve">No</t>
        </is>
      </c>
      <c r="K14" s="5">
        <f>ROUND((E14-1.33)*(F14-1.33)*(G14+H14)/2*7.48*0.7,-2)</f>
      </c>
      <c r="L14" s="4">
        <f>INDEX(Rates!D$2:D$70,MATCH("SHELL_"&amp;$I14,Rates!$A$2:$A$70,0))</f>
      </c>
      <c r="M14" s="4">
        <f>INDEX(Rates!E$2:E$70,MATCH("SHELL_"&amp;$I14,Rates!$A$2:$A$70,0))</f>
      </c>
      <c r="N14" s="4">
        <f>INDEX(Rates!F$2:F$70,MATCH("SHELL_"&amp;$I14,Rates!$A$2:$A$70,0))</f>
      </c>
      <c r="O14" s="3" t="inlineStr">
        <is>
          <t xml:space="preserve"/>
        </is>
      </c>
    </row>
    <row r="15">
      <c r="A15" s="3" t="inlineStr">
        <is>
          <t xml:space="preserve">Saint-Remy</t>
        </is>
      </c>
      <c r="B15" s="3" t="inlineStr">
        <is>
          <t xml:space="preserve">Resort</t>
        </is>
      </c>
      <c r="C15" s="3" t="inlineStr">
        <is>
          <t xml:space="preserve">13'1" x 26'3"</t>
        </is>
      </c>
      <c r="D15" s="3" t="inlineStr">
        <is>
          <t xml:space="preserve">4'4" to 6'5"</t>
        </is>
      </c>
      <c r="E15" s="7">
        <v>13.08</v>
      </c>
      <c r="F15" s="7">
        <v>26.25</v>
      </c>
      <c r="G15" s="7">
        <v>4.33</v>
      </c>
      <c r="H15" s="7">
        <v>6.42</v>
      </c>
      <c r="I15" s="3">
        <f>IF(F15&gt;=35,"Large",IF(F15&gt;=26,"Medium","Small"))</f>
      </c>
      <c r="J15" s="3" t="inlineStr">
        <is>
          <t xml:space="preserve">Yes</t>
        </is>
      </c>
      <c r="K15" s="5">
        <f>ROUND((E15-1.33)*(F15-1.33)*(G15+H15)/2*7.48*0.7,-2)</f>
      </c>
      <c r="L15" s="4">
        <f>INDEX(Rates!D$2:D$70,MATCH("SHELL_"&amp;$I15,Rates!$A$2:$A$70,0))</f>
      </c>
      <c r="M15" s="4">
        <f>INDEX(Rates!E$2:E$70,MATCH("SHELL_"&amp;$I15,Rates!$A$2:$A$70,0))</f>
      </c>
      <c r="N15" s="4">
        <f>INDEX(Rates!F$2:F$70,MATCH("SHELL_"&amp;$I15,Rates!$A$2:$A$70,0))</f>
      </c>
      <c r="O15" s="3" t="inlineStr">
        <is>
          <t xml:space="preserve">Spa built into the shell, spillway into the pool</t>
        </is>
      </c>
    </row>
    <row r="16">
      <c r="A16" s="3" t="inlineStr">
        <is>
          <t xml:space="preserve">Saint-Louis</t>
        </is>
      </c>
      <c r="B16" s="3" t="inlineStr">
        <is>
          <t xml:space="preserve">Resort</t>
        </is>
      </c>
      <c r="C16" s="3" t="inlineStr">
        <is>
          <t xml:space="preserve">14'5" x 32'6"</t>
        </is>
      </c>
      <c r="D16" s="3" t="inlineStr">
        <is>
          <t xml:space="preserve">4'6" to 6'7"</t>
        </is>
      </c>
      <c r="E16" s="7">
        <v>14.42</v>
      </c>
      <c r="F16" s="7">
        <v>32.5</v>
      </c>
      <c r="G16" s="7">
        <v>4.5</v>
      </c>
      <c r="H16" s="7">
        <v>6.58</v>
      </c>
      <c r="I16" s="3">
        <f>IF(F16&gt;=35,"Large",IF(F16&gt;=26,"Medium","Small"))</f>
      </c>
      <c r="J16" s="3" t="inlineStr">
        <is>
          <t xml:space="preserve">Yes</t>
        </is>
      </c>
      <c r="K16" s="5">
        <f>ROUND((E16-1.33)*(F16-1.33)*(G16+H16)/2*7.48*0.7,-2)</f>
      </c>
      <c r="L16" s="4">
        <f>INDEX(Rates!D$2:D$70,MATCH("SHELL_"&amp;$I16,Rates!$A$2:$A$70,0))</f>
      </c>
      <c r="M16" s="4">
        <f>INDEX(Rates!E$2:E$70,MATCH("SHELL_"&amp;$I16,Rates!$A$2:$A$70,0))</f>
      </c>
      <c r="N16" s="4">
        <f>INDEX(Rates!F$2:F$70,MATCH("SHELL_"&amp;$I16,Rates!$A$2:$A$70,0))</f>
      </c>
      <c r="O16" s="3" t="inlineStr">
        <is>
          <t xml:space="preserve">Spa built into the shell</t>
        </is>
      </c>
    </row>
    <row r="17">
      <c r="A17" s="3" t="inlineStr">
        <is>
          <t xml:space="preserve">Saint-Grande</t>
        </is>
      </c>
      <c r="B17" s="3" t="inlineStr">
        <is>
          <t xml:space="preserve">Resort</t>
        </is>
      </c>
      <c r="C17" s="3" t="inlineStr">
        <is>
          <t xml:space="preserve">15'11" x 39'</t>
        </is>
      </c>
      <c r="D17" s="3" t="inlineStr">
        <is>
          <t xml:space="preserve">4'6" to 6'5"</t>
        </is>
      </c>
      <c r="E17" s="7">
        <v>15.92</v>
      </c>
      <c r="F17" s="7">
        <v>39</v>
      </c>
      <c r="G17" s="7">
        <v>4.5</v>
      </c>
      <c r="H17" s="7">
        <v>6.42</v>
      </c>
      <c r="I17" s="3">
        <f>IF(F17&gt;=35,"Large",IF(F17&gt;=26,"Medium","Small"))</f>
      </c>
      <c r="J17" s="3" t="inlineStr">
        <is>
          <t xml:space="preserve">Yes</t>
        </is>
      </c>
      <c r="K17" s="5">
        <f>ROUND((E17-1.33)*(F17-1.33)*(G17+H17)/2*7.48*0.7,-2)</f>
      </c>
      <c r="L17" s="4">
        <f>INDEX(Rates!D$2:D$70,MATCH("SHELL_"&amp;$I17,Rates!$A$2:$A$70,0))</f>
      </c>
      <c r="M17" s="4">
        <f>INDEX(Rates!E$2:E$70,MATCH("SHELL_"&amp;$I17,Rates!$A$2:$A$70,0))</f>
      </c>
      <c r="N17" s="4">
        <f>INDEX(Rates!F$2:F$70,MATCH("SHELL_"&amp;$I17,Rates!$A$2:$A$70,0))</f>
      </c>
      <c r="O17" s="3" t="inlineStr">
        <is>
          <t xml:space="preserve">Largest in the range; spa built into the shell</t>
        </is>
      </c>
    </row>
    <row r="18">
      <c r="A18" s="3" t="inlineStr">
        <is>
          <t xml:space="preserve">Grandeur</t>
        </is>
      </c>
      <c r="B18" s="3" t="inlineStr">
        <is>
          <t xml:space="preserve">Majestic</t>
        </is>
      </c>
      <c r="C18" s="3" t="inlineStr">
        <is>
          <t xml:space="preserve">14'6" x 28'4"</t>
        </is>
      </c>
      <c r="D18" s="3" t="inlineStr">
        <is>
          <t xml:space="preserve">3'4" to 6'1"</t>
        </is>
      </c>
      <c r="E18" s="7">
        <v>14.5</v>
      </c>
      <c r="F18" s="7">
        <v>28.33</v>
      </c>
      <c r="G18" s="7">
        <v>3.33</v>
      </c>
      <c r="H18" s="7">
        <v>6.08</v>
      </c>
      <c r="I18" s="3">
        <f>IF(F18&gt;=35,"Large",IF(F18&gt;=26,"Medium","Small"))</f>
      </c>
      <c r="J18" s="3" t="inlineStr">
        <is>
          <t xml:space="preserve">No</t>
        </is>
      </c>
      <c r="K18" s="5">
        <f>ROUND((E18-1.33)*(F18-1.33)*(G18+H18)/2*7.48*0.7,-2)</f>
      </c>
      <c r="L18" s="4">
        <f>INDEX(Rates!D$2:D$70,MATCH("SHELL_"&amp;$I18,Rates!$A$2:$A$70,0))</f>
      </c>
      <c r="M18" s="4">
        <f>INDEX(Rates!E$2:E$70,MATCH("SHELL_"&amp;$I18,Rates!$A$2:$A$70,0))</f>
      </c>
      <c r="N18" s="4">
        <f>INDEX(Rates!F$2:F$70,MATCH("SHELL_"&amp;$I18,Rates!$A$2:$A$70,0))</f>
      </c>
      <c r="O18" s="3" t="inlineStr">
        <is>
          <t xml:space="preserve"/>
        </is>
      </c>
    </row>
    <row r="19">
      <c r="A19" s="3" t="inlineStr">
        <is>
          <t xml:space="preserve">Regal</t>
        </is>
      </c>
      <c r="B19" s="3" t="inlineStr">
        <is>
          <t xml:space="preserve">Majestic</t>
        </is>
      </c>
      <c r="C19" s="3" t="inlineStr">
        <is>
          <t xml:space="preserve">15'9" x 31'7"</t>
        </is>
      </c>
      <c r="D19" s="3" t="inlineStr">
        <is>
          <t xml:space="preserve">3'3" to 6'7"</t>
        </is>
      </c>
      <c r="E19" s="7">
        <v>15.75</v>
      </c>
      <c r="F19" s="7">
        <v>31.58</v>
      </c>
      <c r="G19" s="7">
        <v>3.25</v>
      </c>
      <c r="H19" s="7">
        <v>6.58</v>
      </c>
      <c r="I19" s="3">
        <f>IF(F19&gt;=35,"Large",IF(F19&gt;=26,"Medium","Small"))</f>
      </c>
      <c r="J19" s="3" t="inlineStr">
        <is>
          <t xml:space="preserve">No</t>
        </is>
      </c>
      <c r="K19" s="5">
        <f>ROUND((E19-1.33)*(F19-1.33)*(G19+H19)/2*7.48*0.7,-2)</f>
      </c>
      <c r="L19" s="4">
        <f>INDEX(Rates!D$2:D$70,MATCH("SHELL_"&amp;$I19,Rates!$A$2:$A$70,0))</f>
      </c>
      <c r="M19" s="4">
        <f>INDEX(Rates!E$2:E$70,MATCH("SHELL_"&amp;$I19,Rates!$A$2:$A$70,0))</f>
      </c>
      <c r="N19" s="4">
        <f>INDEX(Rates!F$2:F$70,MATCH("SHELL_"&amp;$I19,Rates!$A$2:$A$70,0))</f>
      </c>
      <c r="O19" s="3" t="inlineStr">
        <is>
          <t xml:space="preserve"/>
        </is>
      </c>
    </row>
    <row r="20">
      <c r="A20" s="3" t="inlineStr">
        <is>
          <t xml:space="preserve">Verona</t>
        </is>
      </c>
      <c r="B20" s="3" t="inlineStr">
        <is>
          <t xml:space="preserve">Latin</t>
        </is>
      </c>
      <c r="C20" s="3" t="inlineStr">
        <is>
          <t xml:space="preserve">9'6" x 16'1"</t>
        </is>
      </c>
      <c r="D20" s="3" t="inlineStr">
        <is>
          <t xml:space="preserve">3'7" to 4'11"</t>
        </is>
      </c>
      <c r="E20" s="7">
        <v>9.5</v>
      </c>
      <c r="F20" s="7">
        <v>16.08</v>
      </c>
      <c r="G20" s="7">
        <v>3.58</v>
      </c>
      <c r="H20" s="7">
        <v>4.92</v>
      </c>
      <c r="I20" s="3">
        <f>IF(F20&gt;=35,"Large",IF(F20&gt;=26,"Medium","Small"))</f>
      </c>
      <c r="J20" s="3" t="inlineStr">
        <is>
          <t xml:space="preserve">No</t>
        </is>
      </c>
      <c r="K20" s="5">
        <f>ROUND((E20-1.33)*(F20-1.33)*(G20+H20)/2*7.48*0.7,-2)</f>
      </c>
      <c r="L20" s="4">
        <f>INDEX(Rates!D$2:D$70,MATCH("SHELL_"&amp;$I20,Rates!$A$2:$A$70,0))</f>
      </c>
      <c r="M20" s="4">
        <f>INDEX(Rates!E$2:E$70,MATCH("SHELL_"&amp;$I20,Rates!$A$2:$A$70,0))</f>
      </c>
      <c r="N20" s="4">
        <f>INDEX(Rates!F$2:F$70,MATCH("SHELL_"&amp;$I20,Rates!$A$2:$A$70,0))</f>
      </c>
      <c r="O20" s="3" t="inlineStr">
        <is>
          <t xml:space="preserve"/>
        </is>
      </c>
    </row>
    <row r="21">
      <c r="A21" s="3" t="inlineStr">
        <is>
          <t xml:space="preserve">Portofino</t>
        </is>
      </c>
      <c r="B21" s="3" t="inlineStr">
        <is>
          <t xml:space="preserve">Latin</t>
        </is>
      </c>
      <c r="C21" s="3" t="inlineStr">
        <is>
          <t xml:space="preserve">9'6" x 19'4"</t>
        </is>
      </c>
      <c r="D21" s="3" t="inlineStr">
        <is>
          <t xml:space="preserve">3'7" to 5'3"</t>
        </is>
      </c>
      <c r="E21" s="7">
        <v>9.5</v>
      </c>
      <c r="F21" s="7">
        <v>19.33</v>
      </c>
      <c r="G21" s="7">
        <v>3.58</v>
      </c>
      <c r="H21" s="7">
        <v>5.25</v>
      </c>
      <c r="I21" s="3">
        <f>IF(F21&gt;=35,"Large",IF(F21&gt;=26,"Medium","Small"))</f>
      </c>
      <c r="J21" s="3" t="inlineStr">
        <is>
          <t xml:space="preserve">No</t>
        </is>
      </c>
      <c r="K21" s="5">
        <f>ROUND((E21-1.33)*(F21-1.33)*(G21+H21)/2*7.48*0.7,-2)</f>
      </c>
      <c r="L21" s="4">
        <f>INDEX(Rates!D$2:D$70,MATCH("SHELL_"&amp;$I21,Rates!$A$2:$A$70,0))</f>
      </c>
      <c r="M21" s="4">
        <f>INDEX(Rates!E$2:E$70,MATCH("SHELL_"&amp;$I21,Rates!$A$2:$A$70,0))</f>
      </c>
      <c r="N21" s="4">
        <f>INDEX(Rates!F$2:F$70,MATCH("SHELL_"&amp;$I21,Rates!$A$2:$A$70,0))</f>
      </c>
      <c r="O21" s="3" t="inlineStr">
        <is>
          <t xml:space="preserve"/>
        </is>
      </c>
    </row>
    <row r="22">
      <c r="A22" s="3" t="inlineStr">
        <is>
          <t xml:space="preserve">Florentina</t>
        </is>
      </c>
      <c r="B22" s="3" t="inlineStr">
        <is>
          <t xml:space="preserve">Latin</t>
        </is>
      </c>
      <c r="C22" s="3" t="inlineStr">
        <is>
          <t xml:space="preserve">9'6" x 22'8"</t>
        </is>
      </c>
      <c r="D22" s="3" t="inlineStr">
        <is>
          <t xml:space="preserve">3'7" to 5'7"</t>
        </is>
      </c>
      <c r="E22" s="7">
        <v>9.5</v>
      </c>
      <c r="F22" s="7">
        <v>22.67</v>
      </c>
      <c r="G22" s="7">
        <v>3.58</v>
      </c>
      <c r="H22" s="7">
        <v>5.58</v>
      </c>
      <c r="I22" s="3">
        <f>IF(F22&gt;=35,"Large",IF(F22&gt;=26,"Medium","Small"))</f>
      </c>
      <c r="J22" s="3" t="inlineStr">
        <is>
          <t xml:space="preserve">No</t>
        </is>
      </c>
      <c r="K22" s="5">
        <f>ROUND((E22-1.33)*(F22-1.33)*(G22+H22)/2*7.48*0.7,-2)</f>
      </c>
      <c r="L22" s="4">
        <f>INDEX(Rates!D$2:D$70,MATCH("SHELL_"&amp;$I22,Rates!$A$2:$A$70,0))</f>
      </c>
      <c r="M22" s="4">
        <f>INDEX(Rates!E$2:E$70,MATCH("SHELL_"&amp;$I22,Rates!$A$2:$A$70,0))</f>
      </c>
      <c r="N22" s="4">
        <f>INDEX(Rates!F$2:F$70,MATCH("SHELL_"&amp;$I22,Rates!$A$2:$A$70,0))</f>
      </c>
      <c r="O22" s="3" t="inlineStr">
        <is>
          <t xml:space="preserve"/>
        </is>
      </c>
    </row>
    <row r="23">
      <c r="A23" s="3" t="inlineStr">
        <is>
          <t xml:space="preserve">Bellagio</t>
        </is>
      </c>
      <c r="B23" s="3" t="inlineStr">
        <is>
          <t xml:space="preserve">Latin</t>
        </is>
      </c>
      <c r="C23" s="3" t="inlineStr">
        <is>
          <t xml:space="preserve">9'6" x 25'11"</t>
        </is>
      </c>
      <c r="D23" s="3" t="inlineStr">
        <is>
          <t xml:space="preserve">3'7" to 5'11"</t>
        </is>
      </c>
      <c r="E23" s="7">
        <v>9.5</v>
      </c>
      <c r="F23" s="7">
        <v>25.92</v>
      </c>
      <c r="G23" s="7">
        <v>3.58</v>
      </c>
      <c r="H23" s="7">
        <v>5.92</v>
      </c>
      <c r="I23" s="3">
        <f>IF(F23&gt;=35,"Large",IF(F23&gt;=26,"Medium","Small"))</f>
      </c>
      <c r="J23" s="3" t="inlineStr">
        <is>
          <t xml:space="preserve">No</t>
        </is>
      </c>
      <c r="K23" s="5">
        <f>ROUND((E23-1.33)*(F23-1.33)*(G23+H23)/2*7.48*0.7,-2)</f>
      </c>
      <c r="L23" s="4">
        <f>INDEX(Rates!D$2:D$70,MATCH("SHELL_"&amp;$I23,Rates!$A$2:$A$70,0))</f>
      </c>
      <c r="M23" s="4">
        <f>INDEX(Rates!E$2:E$70,MATCH("SHELL_"&amp;$I23,Rates!$A$2:$A$70,0))</f>
      </c>
      <c r="N23" s="4">
        <f>INDEX(Rates!F$2:F$70,MATCH("SHELL_"&amp;$I23,Rates!$A$2:$A$70,0))</f>
      </c>
      <c r="O23" s="3" t="inlineStr">
        <is>
          <t xml:space="preserve">Narrow lap pool</t>
        </is>
      </c>
    </row>
    <row r="24">
      <c r="A24" s="3" t="inlineStr">
        <is>
          <t xml:space="preserve">Bellino</t>
        </is>
      </c>
      <c r="B24" s="3" t="inlineStr">
        <is>
          <t xml:space="preserve">Contemporary</t>
        </is>
      </c>
      <c r="C24" s="3" t="inlineStr">
        <is>
          <t xml:space="preserve">13'1" x 22'8"</t>
        </is>
      </c>
      <c r="D24" s="3" t="inlineStr">
        <is>
          <t xml:space="preserve">3'6" to 6'</t>
        </is>
      </c>
      <c r="E24" s="7">
        <v>13.08</v>
      </c>
      <c r="F24" s="7">
        <v>22.67</v>
      </c>
      <c r="G24" s="7">
        <v>3.5</v>
      </c>
      <c r="H24" s="7">
        <v>6</v>
      </c>
      <c r="I24" s="3">
        <f>IF(F24&gt;=35,"Large",IF(F24&gt;=26,"Medium","Small"))</f>
      </c>
      <c r="J24" s="3" t="inlineStr">
        <is>
          <t xml:space="preserve">No</t>
        </is>
      </c>
      <c r="K24" s="5">
        <f>ROUND((E24-1.33)*(F24-1.33)*(G24+H24)/2*7.48*0.7,-2)</f>
      </c>
      <c r="L24" s="4">
        <f>INDEX(Rates!D$2:D$70,MATCH("SHELL_"&amp;$I24,Rates!$A$2:$A$70,0))</f>
      </c>
      <c r="M24" s="4">
        <f>INDEX(Rates!E$2:E$70,MATCH("SHELL_"&amp;$I24,Rates!$A$2:$A$70,0))</f>
      </c>
      <c r="N24" s="4">
        <f>INDEX(Rates!F$2:F$70,MATCH("SHELL_"&amp;$I24,Rates!$A$2:$A$70,0))</f>
      </c>
      <c r="O24" s="3" t="inlineStr">
        <is>
          <t xml:space="preserve"/>
        </is>
      </c>
    </row>
    <row r="25">
      <c r="A25" s="3" t="inlineStr">
        <is>
          <t xml:space="preserve">Castello</t>
        </is>
      </c>
      <c r="B25" s="3" t="inlineStr">
        <is>
          <t xml:space="preserve">Contemporary</t>
        </is>
      </c>
      <c r="C25" s="3" t="inlineStr">
        <is>
          <t xml:space="preserve">13'1" x 25'11"</t>
        </is>
      </c>
      <c r="D25" s="3" t="inlineStr">
        <is>
          <t xml:space="preserve">3'3" to 6'3"</t>
        </is>
      </c>
      <c r="E25" s="7">
        <v>13.08</v>
      </c>
      <c r="F25" s="7">
        <v>25.92</v>
      </c>
      <c r="G25" s="7">
        <v>3.25</v>
      </c>
      <c r="H25" s="7">
        <v>6.25</v>
      </c>
      <c r="I25" s="3">
        <f>IF(F25&gt;=35,"Large",IF(F25&gt;=26,"Medium","Small"))</f>
      </c>
      <c r="J25" s="3" t="inlineStr">
        <is>
          <t xml:space="preserve">No</t>
        </is>
      </c>
      <c r="K25" s="5">
        <f>ROUND((E25-1.33)*(F25-1.33)*(G25+H25)/2*7.48*0.7,-2)</f>
      </c>
      <c r="L25" s="4">
        <f>INDEX(Rates!D$2:D$70,MATCH("SHELL_"&amp;$I25,Rates!$A$2:$A$70,0))</f>
      </c>
      <c r="M25" s="4">
        <f>INDEX(Rates!E$2:E$70,MATCH("SHELL_"&amp;$I25,Rates!$A$2:$A$70,0))</f>
      </c>
      <c r="N25" s="4">
        <f>INDEX(Rates!F$2:F$70,MATCH("SHELL_"&amp;$I25,Rates!$A$2:$A$70,0))</f>
      </c>
      <c r="O25" s="3" t="inlineStr">
        <is>
          <t xml:space="preserve"/>
        </is>
      </c>
    </row>
    <row r="26">
      <c r="A26" s="3" t="inlineStr">
        <is>
          <t xml:space="preserve">Amalfi</t>
        </is>
      </c>
      <c r="B26" s="3" t="inlineStr">
        <is>
          <t xml:space="preserve">Contemporary</t>
        </is>
      </c>
      <c r="C26" s="3" t="inlineStr">
        <is>
          <t xml:space="preserve">13'1" x 30'10"</t>
        </is>
      </c>
      <c r="D26" s="3" t="inlineStr">
        <is>
          <t xml:space="preserve">2'11" to 6'7"</t>
        </is>
      </c>
      <c r="E26" s="7">
        <v>13.08</v>
      </c>
      <c r="F26" s="7">
        <v>30.83</v>
      </c>
      <c r="G26" s="7">
        <v>2.92</v>
      </c>
      <c r="H26" s="7">
        <v>6.58</v>
      </c>
      <c r="I26" s="3">
        <f>IF(F26&gt;=35,"Large",IF(F26&gt;=26,"Medium","Small"))</f>
      </c>
      <c r="J26" s="3" t="inlineStr">
        <is>
          <t xml:space="preserve">No</t>
        </is>
      </c>
      <c r="K26" s="5">
        <f>ROUND((E26-1.33)*(F26-1.33)*(G26+H26)/2*7.48*0.7,-2)</f>
      </c>
      <c r="L26" s="4">
        <f>INDEX(Rates!D$2:D$70,MATCH("SHELL_"&amp;$I26,Rates!$A$2:$A$70,0))</f>
      </c>
      <c r="M26" s="4">
        <f>INDEX(Rates!E$2:E$70,MATCH("SHELL_"&amp;$I26,Rates!$A$2:$A$70,0))</f>
      </c>
      <c r="N26" s="4">
        <f>INDEX(Rates!F$2:F$70,MATCH("SHELL_"&amp;$I26,Rates!$A$2:$A$70,0))</f>
      </c>
      <c r="O26" s="3" t="inlineStr">
        <is>
          <t xml:space="preserve"/>
        </is>
      </c>
    </row>
    <row r="27">
      <c r="A27" s="3" t="inlineStr">
        <is>
          <t xml:space="preserve">Capricorn</t>
        </is>
      </c>
      <c r="B27" s="3" t="inlineStr">
        <is>
          <t xml:space="preserve">Innovation</t>
        </is>
      </c>
      <c r="C27" s="3" t="inlineStr">
        <is>
          <t xml:space="preserve">14'9" x 25'11"</t>
        </is>
      </c>
      <c r="D27" s="3" t="inlineStr">
        <is>
          <t xml:space="preserve">3'7" to 5'10"</t>
        </is>
      </c>
      <c r="E27" s="7">
        <v>14.75</v>
      </c>
      <c r="F27" s="7">
        <v>25.92</v>
      </c>
      <c r="G27" s="7">
        <v>3.58</v>
      </c>
      <c r="H27" s="7">
        <v>5.83</v>
      </c>
      <c r="I27" s="3">
        <f>IF(F27&gt;=35,"Large",IF(F27&gt;=26,"Medium","Small"))</f>
      </c>
      <c r="J27" s="3" t="inlineStr">
        <is>
          <t xml:space="preserve">No</t>
        </is>
      </c>
      <c r="K27" s="5">
        <f>ROUND((E27-1.33)*(F27-1.33)*(G27+H27)/2*7.48*0.7,-2)</f>
      </c>
      <c r="L27" s="4">
        <f>INDEX(Rates!D$2:D$70,MATCH("SHELL_"&amp;$I27,Rates!$A$2:$A$70,0))</f>
      </c>
      <c r="M27" s="4">
        <f>INDEX(Rates!E$2:E$70,MATCH("SHELL_"&amp;$I27,Rates!$A$2:$A$70,0))</f>
      </c>
      <c r="N27" s="4">
        <f>INDEX(Rates!F$2:F$70,MATCH("SHELL_"&amp;$I27,Rates!$A$2:$A$70,0))</f>
      </c>
      <c r="O27" s="3" t="inlineStr">
        <is>
          <t xml:space="preserve"/>
        </is>
      </c>
    </row>
    <row r="28">
      <c r="A28" s="3" t="inlineStr">
        <is>
          <t xml:space="preserve">Aquarius</t>
        </is>
      </c>
      <c r="B28" s="3" t="inlineStr">
        <is>
          <t xml:space="preserve">Innovation</t>
        </is>
      </c>
      <c r="C28" s="3" t="inlineStr">
        <is>
          <t xml:space="preserve">14'9" x 30'10"</t>
        </is>
      </c>
      <c r="D28" s="3" t="inlineStr">
        <is>
          <t xml:space="preserve">3'3" to 6'1"</t>
        </is>
      </c>
      <c r="E28" s="7">
        <v>14.75</v>
      </c>
      <c r="F28" s="7">
        <v>30.83</v>
      </c>
      <c r="G28" s="7">
        <v>3.25</v>
      </c>
      <c r="H28" s="7">
        <v>6.08</v>
      </c>
      <c r="I28" s="3">
        <f>IF(F28&gt;=35,"Large",IF(F28&gt;=26,"Medium","Small"))</f>
      </c>
      <c r="J28" s="3" t="inlineStr">
        <is>
          <t xml:space="preserve">No</t>
        </is>
      </c>
      <c r="K28" s="5">
        <f>ROUND((E28-1.33)*(F28-1.33)*(G28+H28)/2*7.48*0.7,-2)</f>
      </c>
      <c r="L28" s="4">
        <f>INDEX(Rates!D$2:D$70,MATCH("SHELL_"&amp;$I28,Rates!$A$2:$A$70,0))</f>
      </c>
      <c r="M28" s="4">
        <f>INDEX(Rates!E$2:E$70,MATCH("SHELL_"&amp;$I28,Rates!$A$2:$A$70,0))</f>
      </c>
      <c r="N28" s="4">
        <f>INDEX(Rates!F$2:F$70,MATCH("SHELL_"&amp;$I28,Rates!$A$2:$A$70,0))</f>
      </c>
      <c r="O28" s="3" t="inlineStr">
        <is>
          <t xml:space="preserve"/>
        </is>
      </c>
    </row>
    <row r="29">
      <c r="A29" s="3" t="inlineStr">
        <is>
          <t xml:space="preserve">Marina</t>
        </is>
      </c>
      <c r="B29" s="3" t="inlineStr">
        <is>
          <t xml:space="preserve">Marina</t>
        </is>
      </c>
      <c r="C29" s="3" t="inlineStr">
        <is>
          <t xml:space="preserve">13'7" x 29'11"</t>
        </is>
      </c>
      <c r="D29" s="3" t="inlineStr">
        <is>
          <t xml:space="preserve">3'9" to 6'5"</t>
        </is>
      </c>
      <c r="E29" s="7">
        <v>13.58</v>
      </c>
      <c r="F29" s="7">
        <v>29.92</v>
      </c>
      <c r="G29" s="7">
        <v>3.75</v>
      </c>
      <c r="H29" s="7">
        <v>6.42</v>
      </c>
      <c r="I29" s="3">
        <f>IF(F29&gt;=35,"Large",IF(F29&gt;=26,"Medium","Small"))</f>
      </c>
      <c r="J29" s="3" t="inlineStr">
        <is>
          <t xml:space="preserve">No</t>
        </is>
      </c>
      <c r="K29" s="5">
        <f>ROUND((E29-1.33)*(F29-1.33)*(G29+H29)/2*7.48*0.7,-2)</f>
      </c>
      <c r="L29" s="4">
        <f>INDEX(Rates!D$2:D$70,MATCH("SHELL_"&amp;$I29,Rates!$A$2:$A$70,0))</f>
      </c>
      <c r="M29" s="4">
        <f>INDEX(Rates!E$2:E$70,MATCH("SHELL_"&amp;$I29,Rates!$A$2:$A$70,0))</f>
      </c>
      <c r="N29" s="4">
        <f>INDEX(Rates!F$2:F$70,MATCH("SHELL_"&amp;$I29,Rates!$A$2:$A$70,0))</f>
      </c>
      <c r="O29" s="3" t="inlineStr">
        <is>
          <t xml:space="preserve">Curved style</t>
        </is>
      </c>
    </row>
    <row r="30">
      <c r="A30" s="3" t="inlineStr">
        <is>
          <t xml:space="preserve">Orion 35</t>
        </is>
      </c>
      <c r="B30" s="3" t="inlineStr">
        <is>
          <t xml:space="preserve">Orion</t>
        </is>
      </c>
      <c r="C30" s="3" t="inlineStr">
        <is>
          <t xml:space="preserve">15'11" x 35'</t>
        </is>
      </c>
      <c r="D30" s="3" t="inlineStr">
        <is>
          <t xml:space="preserve">3'3" to 6'3", 1' ledge</t>
        </is>
      </c>
      <c r="E30" s="7">
        <v>15.92</v>
      </c>
      <c r="F30" s="7">
        <v>35</v>
      </c>
      <c r="G30" s="7">
        <v>3.25</v>
      </c>
      <c r="H30" s="7">
        <v>6.25</v>
      </c>
      <c r="I30" s="3">
        <f>IF(F30&gt;=35,"Large",IF(F30&gt;=26,"Medium","Small"))</f>
      </c>
      <c r="J30" s="3" t="inlineStr">
        <is>
          <t xml:space="preserve">No</t>
        </is>
      </c>
      <c r="K30" s="5">
        <f>ROUND((E30-1.33)*(F30-1.33)*(G30+H30)/2*7.48*0.7,-2)</f>
      </c>
      <c r="L30" s="4">
        <f>INDEX(Rates!D$2:D$70,MATCH("SHELL_"&amp;$I30,Rates!$A$2:$A$70,0))</f>
      </c>
      <c r="M30" s="4">
        <f>INDEX(Rates!E$2:E$70,MATCH("SHELL_"&amp;$I30,Rates!$A$2:$A$70,0))</f>
      </c>
      <c r="N30" s="4">
        <f>INDEX(Rates!F$2:F$70,MATCH("SHELL_"&amp;$I30,Rates!$A$2:$A$70,0))</f>
      </c>
      <c r="O30" s="3" t="inlineStr">
        <is>
          <t xml:space="preserve">Rounded ends; 1 ft tanning ledge</t>
        </is>
      </c>
    </row>
    <row r="31">
      <c r="A31" s="3" t="inlineStr">
        <is>
          <t xml:space="preserve">Hayman Lounger 35</t>
        </is>
      </c>
      <c r="B31" s="3" t="inlineStr">
        <is>
          <t xml:space="preserve">Lounger</t>
        </is>
      </c>
      <c r="C31" s="3" t="inlineStr">
        <is>
          <t xml:space="preserve">15'11" x 35'</t>
        </is>
      </c>
      <c r="D31" s="3" t="inlineStr">
        <is>
          <t xml:space="preserve">4'4" to 5'11", 1' ledge</t>
        </is>
      </c>
      <c r="E31" s="7">
        <v>15.92</v>
      </c>
      <c r="F31" s="7">
        <v>35</v>
      </c>
      <c r="G31" s="7">
        <v>4.33</v>
      </c>
      <c r="H31" s="7">
        <v>5.92</v>
      </c>
      <c r="I31" s="3">
        <f>IF(F31&gt;=35,"Large",IF(F31&gt;=26,"Medium","Small"))</f>
      </c>
      <c r="J31" s="3" t="inlineStr">
        <is>
          <t xml:space="preserve">No</t>
        </is>
      </c>
      <c r="K31" s="5">
        <f>ROUND((E31-1.33)*(F31-1.33)*(G31+H31)/2*7.48*0.7,-2)</f>
      </c>
      <c r="L31" s="4">
        <f>INDEX(Rates!D$2:D$70,MATCH("SHELL_"&amp;$I31,Rates!$A$2:$A$70,0))</f>
      </c>
      <c r="M31" s="4">
        <f>INDEX(Rates!E$2:E$70,MATCH("SHELL_"&amp;$I31,Rates!$A$2:$A$70,0))</f>
      </c>
      <c r="N31" s="4">
        <f>INDEX(Rates!F$2:F$70,MATCH("SHELL_"&amp;$I31,Rates!$A$2:$A$70,0))</f>
      </c>
      <c r="O31" s="3" t="inlineStr">
        <is>
          <t xml:space="preserve">1 ft ledge lounger area</t>
        </is>
      </c>
    </row>
    <row r="32">
      <c r="A32" s="3" t="inlineStr">
        <is>
          <t xml:space="preserve">Hayman Lounger 39</t>
        </is>
      </c>
      <c r="B32" s="3" t="inlineStr">
        <is>
          <t xml:space="preserve">Lounger</t>
        </is>
      </c>
      <c r="C32" s="3" t="inlineStr">
        <is>
          <t xml:space="preserve">15'11" x 39'</t>
        </is>
      </c>
      <c r="D32" s="3" t="inlineStr">
        <is>
          <t xml:space="preserve">4'4" to 6'3", 1' ledge</t>
        </is>
      </c>
      <c r="E32" s="7">
        <v>15.92</v>
      </c>
      <c r="F32" s="7">
        <v>39</v>
      </c>
      <c r="G32" s="7">
        <v>4.33</v>
      </c>
      <c r="H32" s="7">
        <v>6.25</v>
      </c>
      <c r="I32" s="3">
        <f>IF(F32&gt;=35,"Large",IF(F32&gt;=26,"Medium","Small"))</f>
      </c>
      <c r="J32" s="3" t="inlineStr">
        <is>
          <t xml:space="preserve">No</t>
        </is>
      </c>
      <c r="K32" s="5">
        <f>ROUND((E32-1.33)*(F32-1.33)*(G32+H32)/2*7.48*0.7,-2)</f>
      </c>
      <c r="L32" s="4">
        <f>INDEX(Rates!D$2:D$70,MATCH("SHELL_"&amp;$I32,Rates!$A$2:$A$70,0))</f>
      </c>
      <c r="M32" s="4">
        <f>INDEX(Rates!E$2:E$70,MATCH("SHELL_"&amp;$I32,Rates!$A$2:$A$70,0))</f>
      </c>
      <c r="N32" s="4">
        <f>INDEX(Rates!F$2:F$70,MATCH("SHELL_"&amp;$I32,Rates!$A$2:$A$70,0))</f>
      </c>
      <c r="O32" s="3" t="inlineStr">
        <is>
          <t xml:space="preserve">1 ft ledge lounger area</t>
        </is>
      </c>
    </row>
    <row r="33">
      <c r="A33" s="3" t="inlineStr">
        <is>
          <t xml:space="preserve">Bastia Spa</t>
        </is>
      </c>
      <c r="B33" s="3" t="inlineStr">
        <is>
          <t xml:space="preserve">Spa</t>
        </is>
      </c>
      <c r="C33" s="3" t="inlineStr">
        <is>
          <t xml:space="preserve">7'11" x 11'10"</t>
        </is>
      </c>
      <c r="D33" s="3" t="inlineStr">
        <is>
          <t xml:space="preserve">3'3"</t>
        </is>
      </c>
      <c r="E33" s="7">
        <v>7.92</v>
      </c>
      <c r="F33" s="7">
        <v>11.83</v>
      </c>
      <c r="G33" s="7">
        <v>3.25</v>
      </c>
      <c r="H33" s="7">
        <v>3.25</v>
      </c>
      <c r="I33" s="3" t="inlineStr">
        <is>
          <t xml:space="preserve">Spa</t>
        </is>
      </c>
      <c r="J33" s="3" t="inlineStr">
        <is>
          <t xml:space="preserve"/>
        </is>
      </c>
      <c r="K33" s="5">
        <f>ROUND((E33-1.33)*(F33-1.33)*(G33+H33)/2*7.48*0.7,-2)</f>
      </c>
      <c r="L33" s="4" t="inlineStr">
        <is>
          <t xml:space="preserve">Rates: SPA_Bastia Spa</t>
        </is>
      </c>
      <c r="M33" s="4" t="inlineStr">
        <is>
          <t xml:space="preserve"/>
        </is>
      </c>
      <c r="N33" s="4" t="inlineStr">
        <is>
          <t xml:space="preserve"/>
        </is>
      </c>
      <c r="O33" s="3" t="inlineStr">
        <is>
          <t xml:space="preserve">Separate spa; priced as an installed spa on Rates</t>
        </is>
      </c>
    </row>
    <row r="34">
      <c r="A34" s="3" t="inlineStr">
        <is>
          <t xml:space="preserve">Elba Spa</t>
        </is>
      </c>
      <c r="B34" s="3" t="inlineStr">
        <is>
          <t xml:space="preserve">Spa</t>
        </is>
      </c>
      <c r="C34" s="3" t="inlineStr">
        <is>
          <t xml:space="preserve">7'11" x 14'5"</t>
        </is>
      </c>
      <c r="D34" s="3" t="inlineStr">
        <is>
          <t xml:space="preserve">3'3"</t>
        </is>
      </c>
      <c r="E34" s="7">
        <v>7.92</v>
      </c>
      <c r="F34" s="7">
        <v>14.42</v>
      </c>
      <c r="G34" s="7">
        <v>3.25</v>
      </c>
      <c r="H34" s="7">
        <v>3.25</v>
      </c>
      <c r="I34" s="3" t="inlineStr">
        <is>
          <t xml:space="preserve">Spa</t>
        </is>
      </c>
      <c r="J34" s="3" t="inlineStr">
        <is>
          <t xml:space="preserve"/>
        </is>
      </c>
      <c r="K34" s="5">
        <f>ROUND((E34-1.33)*(F34-1.33)*(G34+H34)/2*7.48*0.7,-2)</f>
      </c>
      <c r="L34" s="4" t="inlineStr">
        <is>
          <t xml:space="preserve">Rates: SPA_Elba Spa</t>
        </is>
      </c>
      <c r="M34" s="4" t="inlineStr">
        <is>
          <t xml:space="preserve"/>
        </is>
      </c>
      <c r="N34" s="4" t="inlineStr">
        <is>
          <t xml:space="preserve"/>
        </is>
      </c>
      <c r="O34" s="3" t="inlineStr">
        <is>
          <t xml:space="preserve">Separate spa; priced as an installed spa on Rates</t>
        </is>
      </c>
    </row>
    <row r="35">
      <c r="A35" s="3" t="inlineStr">
        <is>
          <t xml:space="preserve">Aqua Ledge</t>
        </is>
      </c>
      <c r="B35" s="3" t="inlineStr">
        <is>
          <t xml:space="preserve">Add-on</t>
        </is>
      </c>
      <c r="C35" s="3" t="inlineStr">
        <is>
          <t xml:space="preserve">7'7" x 14'5"</t>
        </is>
      </c>
      <c r="D35" s="3" t="inlineStr">
        <is>
          <t xml:space="preserve">7"</t>
        </is>
      </c>
      <c r="E35" s="7">
        <v>7.58</v>
      </c>
      <c r="F35" s="7">
        <v>14.42</v>
      </c>
      <c r="G35" s="7">
        <v>0.58</v>
      </c>
      <c r="H35" s="7">
        <v>0.58</v>
      </c>
      <c r="I35" s="3" t="inlineStr">
        <is>
          <t xml:space="preserve">Ledge</t>
        </is>
      </c>
      <c r="J35" s="3" t="inlineStr">
        <is>
          <t xml:space="preserve"/>
        </is>
      </c>
      <c r="K35" s="5">
        <f>ROUND((E35-1.33)*(F35-1.33)*(G35+H35)/2*7.48*0.7,-2)</f>
      </c>
      <c r="L35" s="4" t="inlineStr">
        <is>
          <t xml:space="preserve">Rates: LEDGE</t>
        </is>
      </c>
      <c r="M35" s="4" t="inlineStr">
        <is>
          <t xml:space="preserve"/>
        </is>
      </c>
      <c r="N35" s="4" t="inlineStr">
        <is>
          <t xml:space="preserve"/>
        </is>
      </c>
      <c r="O35" s="3" t="inlineStr">
        <is>
          <t xml:space="preserve">Add-on sun ledge; priced on Rates</t>
        </is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54" customWidth="1"/>
    <col min="3" max="3" width="13" customWidth="1"/>
    <col min="4" max="4" width="13" customWidth="1"/>
    <col min="5" max="5" width="130" customWidth="1"/>
    <col min="6" max="6" width="8" customWidth="1"/>
  </cols>
  <sheetData>
    <row r="1" ht="22" customHeight="1">
      <c r="A1" s="1" t="inlineStr">
        <is>
          <t xml:space="preserve">Key</t>
        </is>
      </c>
      <c r="B1" s="1" t="inlineStr">
        <is>
          <t xml:space="preserve">Published benchmark (homeowner prices, not costs)</t>
        </is>
      </c>
      <c r="C1" s="2" t="inlineStr">
        <is>
          <t xml:space="preserve">Low</t>
        </is>
      </c>
      <c r="D1" s="2" t="inlineStr">
        <is>
          <t xml:space="preserve">High</t>
        </is>
      </c>
      <c r="E1" s="1" t="inlineStr">
        <is>
          <t xml:space="preserve">What the figure includes</t>
        </is>
      </c>
      <c r="F1" s="1" t="inlineStr">
        <is>
          <t xml:space="preserve">Source</t>
        </is>
      </c>
    </row>
    <row r="2">
      <c r="A2" s="3" t="inlineStr">
        <is>
          <t xml:space="preserve">Small</t>
        </is>
      </c>
      <c r="B2" s="3" t="inlineStr">
        <is>
          <t xml:space="preserve">Texas fiberglass average, small (under 26 ft)</t>
        </is>
      </c>
      <c r="C2" s="4">
        <v>55000</v>
      </c>
      <c r="D2" s="4">
        <v>55000</v>
      </c>
      <c r="E2" s="3" t="inlineStr">
        <is>
          <t xml:space="preserve">Base package: shell, dig and haul, pump and filter, plumbing, basic electrical, permits, one light, water, about 3 ft of concrete deck</t>
        </is>
      </c>
      <c r="F2" s="3" t="inlineStr">
        <is>
          <t xml:space="preserve">S2</t>
        </is>
      </c>
    </row>
    <row r="3">
      <c r="A3" s="3" t="inlineStr">
        <is>
          <t xml:space="preserve">Medium</t>
        </is>
      </c>
      <c r="B3" s="3" t="inlineStr">
        <is>
          <t xml:space="preserve">Texas fiberglass average, medium (26 to 34 ft)</t>
        </is>
      </c>
      <c r="C3" s="4">
        <v>70000</v>
      </c>
      <c r="D3" s="4">
        <v>70000</v>
      </c>
      <c r="E3" s="3" t="inlineStr">
        <is>
          <t xml:space="preserve">Same base package</t>
        </is>
      </c>
      <c r="F3" s="3" t="inlineStr">
        <is>
          <t xml:space="preserve">S2</t>
        </is>
      </c>
    </row>
    <row r="4">
      <c r="A4" s="3" t="inlineStr">
        <is>
          <t xml:space="preserve">Large</t>
        </is>
      </c>
      <c r="B4" s="3" t="inlineStr">
        <is>
          <t xml:space="preserve">Texas fiberglass average, large (35 ft and longer)</t>
        </is>
      </c>
      <c r="C4" s="4">
        <v>87500</v>
      </c>
      <c r="D4" s="4">
        <v>87500</v>
      </c>
      <c r="E4" s="3" t="inlineStr">
        <is>
          <t xml:space="preserve">Same base package</t>
        </is>
      </c>
      <c r="F4" s="3" t="inlineStr">
        <is>
          <t xml:space="preserve">S2</t>
        </is>
      </c>
    </row>
    <row r="5">
      <c r="A5" s="3" t="inlineStr">
        <is>
          <t xml:space="preserve">DFW_entry</t>
        </is>
      </c>
      <c r="B5" s="3" t="inlineStr">
        <is>
          <t xml:space="preserve">DFW fiberglass, entry level</t>
        </is>
      </c>
      <c r="C5" s="4">
        <v>35000</v>
      </c>
      <c r="D5" s="4">
        <v>60000</v>
      </c>
      <c r="E5" s="3" t="inlineStr">
        <is>
          <t xml:space="preserve">Basic shell installation, minimal decking</t>
        </is>
      </c>
      <c r="F5" s="3" t="inlineStr">
        <is>
          <t xml:space="preserve">S3</t>
        </is>
      </c>
    </row>
    <row r="6">
      <c r="A6" s="3" t="inlineStr">
        <is>
          <t xml:space="preserve">DFW_mid</t>
        </is>
      </c>
      <c r="B6" s="3" t="inlineStr">
        <is>
          <t xml:space="preserve">DFW fiberglass, mid-range</t>
        </is>
      </c>
      <c r="C6" s="4">
        <v>60000</v>
      </c>
      <c r="D6" s="4">
        <v>90000</v>
      </c>
      <c r="E6" s="3" t="inlineStr">
        <is>
          <t xml:space="preserve">Standard decking, basic features</t>
        </is>
      </c>
      <c r="F6" s="3" t="inlineStr">
        <is>
          <t xml:space="preserve">S3</t>
        </is>
      </c>
    </row>
    <row r="7">
      <c r="A7" s="3" t="inlineStr">
        <is>
          <t xml:space="preserve">DFW_premium</t>
        </is>
      </c>
      <c r="B7" s="3" t="inlineStr">
        <is>
          <t xml:space="preserve">DFW fiberglass, premium</t>
        </is>
      </c>
      <c r="C7" s="4">
        <v>90000</v>
      </c>
      <c r="D7" s="4">
        <v>150000</v>
      </c>
      <c r="E7" s="3" t="inlineStr">
        <is>
          <t xml:space="preserve">Larger shell, extensive hardscaping, custom features, automation; the guide writes $150,000 and up</t>
        </is>
      </c>
      <c r="F7" s="3" t="inlineStr">
        <is>
          <t xml:space="preserve">S3</t>
        </is>
      </c>
    </row>
    <row r="8">
      <c r="A8" s="3" t="inlineStr">
        <is>
          <t xml:space="preserve">US_basic_deck</t>
        </is>
      </c>
      <c r="B8" s="3" t="inlineStr">
        <is>
          <t xml:space="preserve">National: basic install plus 400 to 800 sf concrete</t>
        </is>
      </c>
      <c r="C8" s="4">
        <v>85000</v>
      </c>
      <c r="D8" s="4">
        <v>135000</v>
      </c>
      <c r="E8" s="3" t="inlineStr">
        <is>
          <t xml:space="preserve">Base package plus a modest concrete patio</t>
        </is>
      </c>
      <c r="F8" s="3" t="inlineStr">
        <is>
          <t xml:space="preserve">S4</t>
        </is>
      </c>
    </row>
    <row r="9">
      <c r="A9" s="3" t="inlineStr">
        <is>
          <t xml:space="preserve">US_turnkey</t>
        </is>
      </c>
      <c r="B9" s="3" t="inlineStr">
        <is>
          <t xml:space="preserve">National: turnkey fiberglass</t>
        </is>
      </c>
      <c r="C9" s="4">
        <v>85000</v>
      </c>
      <c r="D9" s="4">
        <v>200000</v>
      </c>
      <c r="E9" s="3" t="inlineStr">
        <is>
          <t xml:space="preserve">Shell, patio, basic accessories, often electrical; elaborate jobs reach $300,000</t>
        </is>
      </c>
      <c r="F9" s="3" t="inlineStr">
        <is>
          <t xml:space="preserve">S4</t>
        </is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pane ySplit="1" topLeftCell="A2" activePane="bottomLeft" state="frozen"/>
    </sheetView>
  </sheetViews>
  <sheetFormatPr defaultRowHeight="15"/>
  <cols>
    <col min="1" max="1" width="6" customWidth="1"/>
    <col min="2" max="2" width="105" customWidth="1"/>
    <col min="3" max="3" width="140" customWidth="1"/>
    <col min="4" max="4" width="12" customWidth="1"/>
    <col min="5" max="5" width="80" customWidth="1"/>
  </cols>
  <sheetData>
    <row r="1" ht="22" customHeight="1">
      <c r="A1" s="1" t="inlineStr">
        <is>
          <t xml:space="preserve">No.</t>
        </is>
      </c>
      <c r="B1" s="1" t="inlineStr">
        <is>
          <t xml:space="preserve">Source</t>
        </is>
      </c>
      <c r="C1" s="1" t="inlineStr">
        <is>
          <t xml:space="preserve">Address</t>
        </is>
      </c>
      <c r="D1" s="1" t="inlineStr">
        <is>
          <t xml:space="preserve">Read</t>
        </is>
      </c>
      <c r="E1" s="1" t="inlineStr">
        <is>
          <t xml:space="preserve">What it grounds</t>
        </is>
      </c>
    </row>
    <row r="2">
      <c r="A2" s="3" t="inlineStr">
        <is>
          <t xml:space="preserve">S1</t>
        </is>
      </c>
      <c r="B2" s="3" t="inlineStr">
        <is>
          <t xml:space="preserve">AquaTechnics Pools USA, Our Innovative Fiberglass Pool Range brochure, June 2025</t>
        </is>
      </c>
      <c r="C2" s="3" t="inlineStr">
        <is>
          <t xml:space="preserve">https://www.aquatechnicspools.com/assets/pdf/brochure/AT%20USA%20Brochure%20JUN2025.pdf</t>
        </is>
      </c>
      <c r="D2" s="3" t="inlineStr">
        <is>
          <t xml:space="preserve">2026-10-18</t>
        </is>
      </c>
      <c r="E2" s="3" t="inlineStr">
        <is>
          <t xml:space="preserve">Every model, external size and depth on the Shells sheet; Limited Lifetime Structural and Interior Surface Warranties</t>
        </is>
      </c>
    </row>
    <row r="3">
      <c r="A3" s="3" t="inlineStr">
        <is>
          <t xml:space="preserve">S2</t>
        </is>
      </c>
      <c r="B3" s="3" t="inlineStr">
        <is>
          <t xml:space="preserve">Thursday Pools, How Much Does a Fiberglass Pool Cost in Texas? (updated 06/25/2026)</t>
        </is>
      </c>
      <c r="C3" s="3" t="inlineStr">
        <is>
          <t xml:space="preserve">https://thursdaypools.com/blog/fiberglass-pool-cost-texas</t>
        </is>
      </c>
      <c r="D3" s="3" t="inlineStr">
        <is>
          <t xml:space="preserve">2026-10-18</t>
        </is>
      </c>
      <c r="E3" s="3" t="inlineStr">
        <is>
          <t xml:space="preserve">Texas size classes and averages; clay, rock, slope and access upcharges; heater, light, cover, spa, fence averages</t>
        </is>
      </c>
    </row>
    <row r="4">
      <c r="A4" s="3" t="inlineStr">
        <is>
          <t xml:space="preserve">S3</t>
        </is>
      </c>
      <c r="B4" s="3" t="inlineStr">
        <is>
          <t xml:space="preserve">DFW Custom Pool, How Much Does An Inground Pool Cost: A Pool Builder's Guide For 2026</t>
        </is>
      </c>
      <c r="C4" s="3" t="inlineStr">
        <is>
          <t xml:space="preserve">https://dfwcustompool.com/how-much-does-an-inground-pool-cost-a-pool-builders-guide-for-2026</t>
        </is>
      </c>
      <c r="D4" s="3" t="inlineStr">
        <is>
          <t xml:space="preserve">2026-10-18</t>
        </is>
      </c>
      <c r="E4" s="3" t="inlineStr">
        <is>
          <t xml:space="preserve">DFW fiberglass bands; clay mitigation; rock; geotech; permits; gas line; panel; spa; ledge</t>
        </is>
      </c>
    </row>
    <row r="5">
      <c r="A5" s="3" t="inlineStr">
        <is>
          <t xml:space="preserve">S4</t>
        </is>
      </c>
      <c r="B5" s="3" t="inlineStr">
        <is>
          <t xml:space="preserve">River Pools, How Much Is My Fiberglass Pool Really Going to Cost in 2026? (updated Dec 8, 2025)</t>
        </is>
      </c>
      <c r="C5" s="3" t="inlineStr">
        <is>
          <t xml:space="preserve">https://www.riverpoolsandspas.com/blog/how-much-will-my-fiberglass-pool-really-cost</t>
        </is>
      </c>
      <c r="D5" s="3" t="inlineStr">
        <is>
          <t xml:space="preserve">2026-10-18</t>
        </is>
      </c>
      <c r="E5" s="3" t="inlineStr">
        <is>
          <t xml:space="preserve">National package ranges; auto cover; lights; retaining walls</t>
        </is>
      </c>
    </row>
    <row r="6">
      <c r="A6" s="3" t="inlineStr">
        <is>
          <t xml:space="preserve">S5</t>
        </is>
      </c>
      <c r="B6" s="3" t="inlineStr">
        <is>
          <t xml:space="preserve">River Pools, What Can You Expect From a Fiberglass Pool Kit? (updated Aug 11, 2025)</t>
        </is>
      </c>
      <c r="C6" s="3" t="inlineStr">
        <is>
          <t xml:space="preserve">https://www.riverpoolsandspas.com/blog/fiberglass-pool-kit</t>
        </is>
      </c>
      <c r="D6" s="3" t="inlineStr">
        <is>
          <t xml:space="preserve">2026-10-18</t>
        </is>
      </c>
      <c r="E6" s="3" t="inlineStr">
        <is>
          <t xml:space="preserve">Shell-alone price bands by size; shipping $2,000 to $5,000</t>
        </is>
      </c>
    </row>
    <row r="7">
      <c r="A7" s="3" t="inlineStr">
        <is>
          <t xml:space="preserve">S6</t>
        </is>
      </c>
      <c r="B7" s="3" t="inlineStr">
        <is>
          <t xml:space="preserve">Rigging Force, How Much Does Crane Delivery Cost for a Fiberglass Pool?</t>
        </is>
      </c>
      <c r="C7" s="3" t="inlineStr">
        <is>
          <t xml:space="preserve">https://riggingforce.com/resources/fiberglass-pool-crane-cost</t>
        </is>
      </c>
      <c r="D7" s="3" t="inlineStr">
        <is>
          <t xml:space="preserve">2026-10-18</t>
        </is>
      </c>
      <c r="E7" s="3" t="inlineStr">
        <is>
          <t xml:space="preserve">Crane set ranges and hourly rates</t>
        </is>
      </c>
    </row>
    <row r="8">
      <c r="A8" s="3" t="inlineStr">
        <is>
          <t xml:space="preserve">S7</t>
        </is>
      </c>
      <c r="B8" s="3" t="inlineStr">
        <is>
          <t xml:space="preserve">DirtMatch, Where to Dump Dirt in Dallas, Texas (2026 Guide)</t>
        </is>
      </c>
      <c r="C8" s="3" t="inlineStr">
        <is>
          <t xml:space="preserve">https://dirtmatch.com/blog/where-to-dump-dirt-dallas-texas-guide</t>
        </is>
      </c>
      <c r="D8" s="3" t="inlineStr">
        <is>
          <t xml:space="preserve">2026-10-18</t>
        </is>
      </c>
      <c r="E8" s="3" t="inlineStr">
        <is>
          <t xml:space="preserve">Haul per load, truck capacity, swell, tipping, Blackland clay weight</t>
        </is>
      </c>
    </row>
    <row r="9">
      <c r="A9" s="3" t="inlineStr">
        <is>
          <t xml:space="preserve">S8</t>
        </is>
      </c>
      <c r="B9" s="3" t="inlineStr">
        <is>
          <t xml:space="preserve">Aggregate Markets, Limestone #57 Delivery in Dallas, Texas</t>
        </is>
      </c>
      <c r="C9" s="3" t="inlineStr">
        <is>
          <t xml:space="preserve">https://aggregatemarkets.com/en/locations/texas/dallas/dallas/products/pea-gravel/57-limestone</t>
        </is>
      </c>
      <c r="D9" s="3" t="inlineStr">
        <is>
          <t xml:space="preserve">2026-10-18</t>
        </is>
      </c>
      <c r="E9" s="3" t="inlineStr">
        <is>
          <t xml:space="preserve">#57 limestone $29.70 to $52.65 per ton plus delivery</t>
        </is>
      </c>
    </row>
    <row r="10">
      <c r="A10" s="3" t="inlineStr">
        <is>
          <t xml:space="preserve">S9</t>
        </is>
      </c>
      <c r="B10" s="3" t="inlineStr">
        <is>
          <t xml:space="preserve">Pool Supply Depot, Featured Pentair Products</t>
        </is>
      </c>
      <c r="C10" s="3" t="inlineStr">
        <is>
          <t xml:space="preserve">https://poolsupplydepot.net/collections/pentair-products</t>
        </is>
      </c>
      <c r="D10" s="3" t="inlineStr">
        <is>
          <t xml:space="preserve">2026-10-18</t>
        </is>
      </c>
      <c r="E10" s="3" t="inlineStr">
        <is>
          <t xml:space="preserve">IntelliFlo3 VSF 3HP $1,699</t>
        </is>
      </c>
    </row>
    <row r="11">
      <c r="A11" s="3" t="inlineStr">
        <is>
          <t xml:space="preserve">S10</t>
        </is>
      </c>
      <c r="B11" s="3" t="inlineStr">
        <is>
          <t xml:space="preserve">Wellbots, Pentair collection</t>
        </is>
      </c>
      <c r="C11" s="3" t="inlineStr">
        <is>
          <t xml:space="preserve">https://www.wellbots.com/collections/pentair</t>
        </is>
      </c>
      <c r="D11" s="3" t="inlineStr">
        <is>
          <t xml:space="preserve">2026-10-18</t>
        </is>
      </c>
      <c r="E11" s="3" t="inlineStr">
        <is>
          <t xml:space="preserve">Filters, IntelliCenter, IntelliChlor, MasterTemp, UltraTemp, IntelliFlo prices</t>
        </is>
      </c>
    </row>
    <row r="12">
      <c r="A12" s="3" t="inlineStr">
        <is>
          <t xml:space="preserve">S11</t>
        </is>
      </c>
      <c r="B12" s="3" t="inlineStr">
        <is>
          <t xml:space="preserve">HomeGuide, How much does pool coping cost?</t>
        </is>
      </c>
      <c r="C12" s="3" t="inlineStr">
        <is>
          <t xml:space="preserve">https://homeguide.com/costs/pool-coping-cost</t>
        </is>
      </c>
      <c r="D12" s="3" t="inlineStr">
        <is>
          <t xml:space="preserve">2026-10-18</t>
        </is>
      </c>
      <c r="E12" s="3" t="inlineStr">
        <is>
          <t xml:space="preserve">Coping per LF by material (national)</t>
        </is>
      </c>
    </row>
    <row r="13">
      <c r="A13" s="3" t="inlineStr">
        <is>
          <t xml:space="preserve">S12</t>
        </is>
      </c>
      <c r="B13" s="3" t="inlineStr">
        <is>
          <t xml:space="preserve">Simplified Pools (Northlake, TX), Pool Deck Options for DFW</t>
        </is>
      </c>
      <c r="C13" s="3" t="inlineStr">
        <is>
          <t xml:space="preserve">https://simplifiedpools.com/blog/pool-deck-options-dfw</t>
        </is>
      </c>
      <c r="D13" s="3" t="inlineStr">
        <is>
          <t xml:space="preserve">2026-10-18</t>
        </is>
      </c>
      <c r="E13" s="3" t="inlineStr">
        <is>
          <t xml:space="preserve">Deck per sf by material, DFW early 2026</t>
        </is>
      </c>
    </row>
    <row r="14">
      <c r="A14" s="3" t="inlineStr">
        <is>
          <t xml:space="preserve">S13</t>
        </is>
      </c>
      <c r="B14" s="3" t="inlineStr">
        <is>
          <t xml:space="preserve">HomeGuide, How much does a metal fence cost?</t>
        </is>
      </c>
      <c r="C14" s="3" t="inlineStr">
        <is>
          <t xml:space="preserve">https://homeguide.com/costs/metal-fence-cost</t>
        </is>
      </c>
      <c r="D14" s="3" t="inlineStr">
        <is>
          <t xml:space="preserve">2026-10-18</t>
        </is>
      </c>
      <c r="E14" s="3" t="inlineStr">
        <is>
          <t xml:space="preserve">Aluminum and wrought iron fence per LF</t>
        </is>
      </c>
    </row>
    <row r="15">
      <c r="A15" s="3" t="inlineStr">
        <is>
          <t xml:space="preserve">S14</t>
        </is>
      </c>
      <c r="B15" s="3" t="inlineStr">
        <is>
          <t xml:space="preserve">Dallas Water Utilities, FY27 Monthly Payment Rates (effective Oct 1, 2025)</t>
        </is>
      </c>
      <c r="C15" s="3" t="inlineStr">
        <is>
          <t xml:space="preserve">https://dallascityhall.com/departments/waterutilities/DCH%20Documents/monthly_rate_sheet.pdf</t>
        </is>
      </c>
      <c r="D15" s="3" t="inlineStr">
        <is>
          <t xml:space="preserve">2026-10-18</t>
        </is>
      </c>
      <c r="E15" s="3" t="inlineStr">
        <is>
          <t xml:space="preserve">Residential water tiers</t>
        </is>
      </c>
    </row>
    <row r="16">
      <c r="A16" s="3" t="inlineStr">
        <is>
          <t xml:space="preserve">S15</t>
        </is>
      </c>
      <c r="B16" s="3" t="inlineStr">
        <is>
          <t xml:space="preserve">City of Frisco, Form 107 Residential Swimming Pools and Spas, July 2026</t>
        </is>
      </c>
      <c r="C16" s="3" t="inlineStr">
        <is>
          <t xml:space="preserve">https://www.friscotexas.gov/DocumentCenter/View/107/Residential-Pools-Spas-Fountains-Splashpad-Submittal-Requirements-and-Inspection-ChecklistPDF</t>
        </is>
      </c>
      <c r="D16" s="3" t="inlineStr">
        <is>
          <t xml:space="preserve">2026-10-18</t>
        </is>
      </c>
      <c r="E16" s="3" t="inlineStr">
        <is>
          <t xml:space="preserve">Pool, spa, plumbing, electrical permit fees; temporary fencing; engineer letter rule</t>
        </is>
      </c>
    </row>
    <row r="17">
      <c r="A17" s="3" t="inlineStr">
        <is>
          <t xml:space="preserve">S16</t>
        </is>
      </c>
      <c r="B17" s="3" t="inlineStr">
        <is>
          <t xml:space="preserve">City of Dallas Development Services, Permit Fee Schedule (effective May 1, 2024)</t>
        </is>
      </c>
      <c r="C17" s="3" t="inlineStr">
        <is>
          <t xml:space="preserve">https://dallascityhall.com/departments/sustainabledevelopment/DCH%20documents/DSD%20Fees.pdf</t>
        </is>
      </c>
      <c r="D17" s="3" t="inlineStr">
        <is>
          <t xml:space="preserve">2026-10-18</t>
        </is>
      </c>
      <c r="E17" s="3" t="inlineStr">
        <is>
          <t xml:space="preserve">Dallas fee structure; the schedule names no pool-specific fee</t>
        </is>
      </c>
    </row>
    <row r="18">
      <c r="A18" s="3" t="inlineStr">
        <is>
          <t xml:space="preserve">S17</t>
        </is>
      </c>
      <c r="B18" s="3" t="inlineStr">
        <is>
          <t xml:space="preserve">Made in Alabama, Aquatic Leisure Technologies to Launch First U.S. Manufacturing Facility in Opp (Nov 21, 2025)</t>
        </is>
      </c>
      <c r="C18" s="3" t="inlineStr">
        <is>
          <t xml:space="preserve">https://www.madeinalabama.com/2025/11/aquatic-leisure-technologies-to-launch-first-u-s-manufacturing-facility-in-opp</t>
        </is>
      </c>
      <c r="D18" s="3" t="inlineStr">
        <is>
          <t xml:space="preserve">2026-10-18</t>
        </is>
      </c>
      <c r="E18" s="3" t="inlineStr">
        <is>
          <t xml:space="preserve">Aqua Technics US production in Opp, Alabama, expected early 2026; supplied from Australia since 2018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>
  <dc:title>Longwater · DFW fiberglass pool estimating workbook · 2026</dc:title>
  <dc:creator>Longwater Pool Co. (internal)</dc:creator>
</cp:coreProperties>
</file>